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00 작업폴더\해밀 건축사사무소\1100고지 습지보호지역 노후탐방로 정비사업\납품\1100고지 습지보호지역 노후탐방로 정비사업 260420\01. 내역서\"/>
    </mc:Choice>
  </mc:AlternateContent>
  <xr:revisionPtr revIDLastSave="0" documentId="13_ncr:1_{66C70DAF-08AC-4F44-9481-5F54C42E1E33}" xr6:coauthVersionLast="47" xr6:coauthVersionMax="47" xr10:uidLastSave="{00000000-0000-0000-0000-000000000000}"/>
  <bookViews>
    <workbookView xWindow="-110" yWindow="-110" windowWidth="51420" windowHeight="13900" xr2:uid="{891030B3-F406-429A-8BDE-C71C44FE95AE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  <sheet name=" 공사설정 " sheetId="2" r:id="rId9"/>
    <sheet name="Sheet1" sheetId="1" r:id="rId10"/>
  </sheets>
  <definedNames>
    <definedName name="_xlnm.Print_Area" localSheetId="2">공종별내역서!$A$1:$M$142</definedName>
    <definedName name="_xlnm.Print_Area" localSheetId="1">공종별집계표!$A$1:$M$27</definedName>
    <definedName name="_xlnm.Print_Area" localSheetId="7">단가대비표!$A$1:$X$44</definedName>
    <definedName name="_xlnm.Print_Area" localSheetId="5">단가산출목록!$A$1:$L$5</definedName>
    <definedName name="_xlnm.Print_Area" localSheetId="6">단가산출서!$A$1:$F$63</definedName>
    <definedName name="_xlnm.Print_Area" localSheetId="4">일위대가!$A$1:$M$118</definedName>
    <definedName name="_xlnm.Print_Area" localSheetId="3">일위대가목록!$A$1:$M$22</definedName>
    <definedName name="_xlnm.Print_Titles" localSheetId="2">공종별내역서!$1:$4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일위대가!$1:$4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2" i="10" l="1"/>
  <c r="H5" i="5"/>
  <c r="G5" i="5"/>
  <c r="F5" i="5"/>
  <c r="E5" i="5"/>
  <c r="H4" i="5"/>
  <c r="G4" i="5"/>
  <c r="F4" i="5"/>
  <c r="E4" i="5"/>
  <c r="I122" i="8"/>
  <c r="G122" i="8"/>
  <c r="E122" i="8"/>
  <c r="I121" i="8"/>
  <c r="G121" i="8"/>
  <c r="E121" i="8"/>
  <c r="I101" i="8"/>
  <c r="G101" i="8"/>
  <c r="E101" i="8"/>
  <c r="I100" i="8"/>
  <c r="G100" i="8"/>
  <c r="E100" i="8"/>
  <c r="I99" i="8"/>
  <c r="G99" i="8"/>
  <c r="E99" i="8"/>
  <c r="I98" i="8"/>
  <c r="J98" i="8" s="1"/>
  <c r="J119" i="8" s="1"/>
  <c r="I11" i="9" s="1"/>
  <c r="J11" i="9" s="1"/>
  <c r="G98" i="8"/>
  <c r="H98" i="8" s="1"/>
  <c r="H119" i="8" s="1"/>
  <c r="G11" i="9" s="1"/>
  <c r="H11" i="9" s="1"/>
  <c r="E98" i="8"/>
  <c r="I75" i="8"/>
  <c r="J75" i="8" s="1"/>
  <c r="J96" i="8" s="1"/>
  <c r="I10" i="9" s="1"/>
  <c r="J10" i="9" s="1"/>
  <c r="G75" i="8"/>
  <c r="H75" i="8" s="1"/>
  <c r="H96" i="8" s="1"/>
  <c r="G10" i="9" s="1"/>
  <c r="H10" i="9" s="1"/>
  <c r="E75" i="8"/>
  <c r="I53" i="8"/>
  <c r="G53" i="8"/>
  <c r="E53" i="8"/>
  <c r="I52" i="8"/>
  <c r="G52" i="8"/>
  <c r="E52" i="8"/>
  <c r="I40" i="8"/>
  <c r="K40" i="8" s="1"/>
  <c r="G40" i="8"/>
  <c r="E40" i="8"/>
  <c r="I39" i="8"/>
  <c r="G39" i="8"/>
  <c r="E39" i="8"/>
  <c r="I38" i="8"/>
  <c r="G38" i="8"/>
  <c r="E38" i="8"/>
  <c r="I37" i="8"/>
  <c r="G37" i="8"/>
  <c r="E37" i="8"/>
  <c r="I35" i="8"/>
  <c r="G35" i="8"/>
  <c r="E35" i="8"/>
  <c r="I34" i="8"/>
  <c r="G34" i="8"/>
  <c r="E34" i="8"/>
  <c r="I33" i="8"/>
  <c r="G33" i="8"/>
  <c r="E33" i="8"/>
  <c r="I32" i="8"/>
  <c r="G32" i="8"/>
  <c r="E32" i="8"/>
  <c r="I31" i="8"/>
  <c r="G31" i="8"/>
  <c r="E31" i="8"/>
  <c r="I30" i="8"/>
  <c r="G30" i="8"/>
  <c r="E30" i="8"/>
  <c r="I29" i="8"/>
  <c r="J29" i="8" s="1"/>
  <c r="G29" i="8"/>
  <c r="H29" i="8" s="1"/>
  <c r="E29" i="8"/>
  <c r="I7" i="8"/>
  <c r="G7" i="8"/>
  <c r="E7" i="8"/>
  <c r="I6" i="8"/>
  <c r="G6" i="8"/>
  <c r="E6" i="8"/>
  <c r="I117" i="6"/>
  <c r="G117" i="6"/>
  <c r="E117" i="6"/>
  <c r="K117" i="6" s="1"/>
  <c r="I115" i="6"/>
  <c r="G115" i="6"/>
  <c r="E115" i="6"/>
  <c r="I114" i="6"/>
  <c r="G114" i="6"/>
  <c r="E114" i="6"/>
  <c r="I109" i="6"/>
  <c r="G109" i="6"/>
  <c r="E109" i="6"/>
  <c r="I104" i="6"/>
  <c r="G104" i="6"/>
  <c r="E104" i="6"/>
  <c r="I98" i="6"/>
  <c r="G98" i="6"/>
  <c r="H98" i="6" s="1"/>
  <c r="E98" i="6"/>
  <c r="I97" i="6"/>
  <c r="G97" i="6"/>
  <c r="E97" i="6"/>
  <c r="I96" i="6"/>
  <c r="G96" i="6"/>
  <c r="E96" i="6"/>
  <c r="F96" i="6" s="1"/>
  <c r="I95" i="6"/>
  <c r="G95" i="6"/>
  <c r="E95" i="6"/>
  <c r="I90" i="6"/>
  <c r="G90" i="6"/>
  <c r="E90" i="6"/>
  <c r="I89" i="6"/>
  <c r="G89" i="6"/>
  <c r="E89" i="6"/>
  <c r="I83" i="6"/>
  <c r="G83" i="6"/>
  <c r="E83" i="6"/>
  <c r="I82" i="6"/>
  <c r="G82" i="6"/>
  <c r="E82" i="6"/>
  <c r="I78" i="6"/>
  <c r="G78" i="6"/>
  <c r="E78" i="6"/>
  <c r="I77" i="6"/>
  <c r="G77" i="6"/>
  <c r="E77" i="6"/>
  <c r="I73" i="6"/>
  <c r="G73" i="6"/>
  <c r="E73" i="6"/>
  <c r="I72" i="6"/>
  <c r="G72" i="6"/>
  <c r="E72" i="6"/>
  <c r="I71" i="6"/>
  <c r="G71" i="6"/>
  <c r="E71" i="6"/>
  <c r="I62" i="6"/>
  <c r="G62" i="6"/>
  <c r="E62" i="6"/>
  <c r="I57" i="6"/>
  <c r="G57" i="6"/>
  <c r="E57" i="6"/>
  <c r="I55" i="6"/>
  <c r="G55" i="6"/>
  <c r="E55" i="6"/>
  <c r="I54" i="6"/>
  <c r="G54" i="6"/>
  <c r="E54" i="6"/>
  <c r="I50" i="6"/>
  <c r="G50" i="6"/>
  <c r="E50" i="6"/>
  <c r="I48" i="6"/>
  <c r="G48" i="6"/>
  <c r="E48" i="6"/>
  <c r="I44" i="6"/>
  <c r="G44" i="6"/>
  <c r="E44" i="6"/>
  <c r="I42" i="6"/>
  <c r="K42" i="6" s="1"/>
  <c r="G42" i="6"/>
  <c r="E42" i="6"/>
  <c r="I32" i="6"/>
  <c r="J32" i="6" s="1"/>
  <c r="J33" i="6" s="1"/>
  <c r="G8" i="7" s="1"/>
  <c r="I36" i="8" s="1"/>
  <c r="J36" i="8" s="1"/>
  <c r="G32" i="6"/>
  <c r="H32" i="6" s="1"/>
  <c r="H33" i="6" s="1"/>
  <c r="F8" i="7" s="1"/>
  <c r="G36" i="8" s="1"/>
  <c r="H36" i="8" s="1"/>
  <c r="E32" i="6"/>
  <c r="F32" i="6" s="1"/>
  <c r="F33" i="6" s="1"/>
  <c r="I28" i="6"/>
  <c r="G28" i="6"/>
  <c r="E28" i="6"/>
  <c r="I27" i="6"/>
  <c r="G27" i="6"/>
  <c r="E27" i="6"/>
  <c r="I22" i="6"/>
  <c r="G22" i="6"/>
  <c r="E22" i="6"/>
  <c r="I21" i="6"/>
  <c r="G21" i="6"/>
  <c r="H21" i="6" s="1"/>
  <c r="E21" i="6"/>
  <c r="I19" i="6"/>
  <c r="G19" i="6"/>
  <c r="E19" i="6"/>
  <c r="I13" i="6"/>
  <c r="G13" i="6"/>
  <c r="E13" i="6"/>
  <c r="I12" i="6"/>
  <c r="J12" i="6" s="1"/>
  <c r="G12" i="6"/>
  <c r="E12" i="6"/>
  <c r="I7" i="6"/>
  <c r="G7" i="6"/>
  <c r="E7" i="6"/>
  <c r="I6" i="6"/>
  <c r="G6" i="6"/>
  <c r="E6" i="6"/>
  <c r="O44" i="3"/>
  <c r="O43" i="3"/>
  <c r="O42" i="3"/>
  <c r="O41" i="3"/>
  <c r="O40" i="3"/>
  <c r="O39" i="3"/>
  <c r="V38" i="3"/>
  <c r="V37" i="3"/>
  <c r="O26" i="3"/>
  <c r="V25" i="3"/>
  <c r="V24" i="3"/>
  <c r="V23" i="3"/>
  <c r="V22" i="3"/>
  <c r="V21" i="3"/>
  <c r="V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V6" i="3"/>
  <c r="V5" i="3"/>
  <c r="B63" i="4"/>
  <c r="C63" i="4"/>
  <c r="D63" i="4"/>
  <c r="B58" i="4"/>
  <c r="C58" i="4"/>
  <c r="D58" i="4"/>
  <c r="E58" i="4" s="1"/>
  <c r="D57" i="4"/>
  <c r="A57" i="4" s="1"/>
  <c r="N57" i="4"/>
  <c r="B45" i="4"/>
  <c r="C45" i="4"/>
  <c r="B44" i="4"/>
  <c r="C44" i="4"/>
  <c r="D43" i="4"/>
  <c r="A43" i="4" s="1"/>
  <c r="N43" i="4"/>
  <c r="B39" i="4"/>
  <c r="C39" i="4"/>
  <c r="D39" i="4"/>
  <c r="D38" i="4"/>
  <c r="A38" i="4" s="1"/>
  <c r="E38" i="4"/>
  <c r="N38" i="4"/>
  <c r="B34" i="4"/>
  <c r="C34" i="4"/>
  <c r="J118" i="6"/>
  <c r="G22" i="7" s="1"/>
  <c r="F117" i="6"/>
  <c r="H117" i="6"/>
  <c r="H118" i="6" s="1"/>
  <c r="F22" i="7" s="1"/>
  <c r="J117" i="6"/>
  <c r="E116" i="6"/>
  <c r="F116" i="6" s="1"/>
  <c r="L116" i="6" s="1"/>
  <c r="H116" i="6"/>
  <c r="J116" i="6"/>
  <c r="F115" i="6"/>
  <c r="H115" i="6"/>
  <c r="J115" i="6"/>
  <c r="K115" i="6"/>
  <c r="L115" i="6"/>
  <c r="F114" i="6"/>
  <c r="H114" i="6"/>
  <c r="J114" i="6"/>
  <c r="K114" i="6"/>
  <c r="F111" i="6"/>
  <c r="H111" i="6"/>
  <c r="F21" i="7" s="1"/>
  <c r="G105" i="6" s="1"/>
  <c r="H105" i="6" s="1"/>
  <c r="J111" i="6"/>
  <c r="G21" i="7" s="1"/>
  <c r="I105" i="6" s="1"/>
  <c r="J105" i="6" s="1"/>
  <c r="F110" i="6"/>
  <c r="H110" i="6"/>
  <c r="I110" i="6"/>
  <c r="J110" i="6" s="1"/>
  <c r="F109" i="6"/>
  <c r="H109" i="6"/>
  <c r="J109" i="6"/>
  <c r="K109" i="6"/>
  <c r="F104" i="6"/>
  <c r="H104" i="6"/>
  <c r="J104" i="6"/>
  <c r="K104" i="6"/>
  <c r="H100" i="6"/>
  <c r="J100" i="6"/>
  <c r="F99" i="6"/>
  <c r="H99" i="6"/>
  <c r="F98" i="6"/>
  <c r="J98" i="6"/>
  <c r="F97" i="6"/>
  <c r="H97" i="6"/>
  <c r="J97" i="6"/>
  <c r="K97" i="6"/>
  <c r="H96" i="6"/>
  <c r="J96" i="6"/>
  <c r="K96" i="6"/>
  <c r="F95" i="6"/>
  <c r="H95" i="6"/>
  <c r="L95" i="6" s="1"/>
  <c r="J95" i="6"/>
  <c r="K95" i="6"/>
  <c r="F91" i="6"/>
  <c r="H91" i="6"/>
  <c r="F90" i="6"/>
  <c r="F92" i="6" s="1"/>
  <c r="H90" i="6"/>
  <c r="J90" i="6"/>
  <c r="K90" i="6"/>
  <c r="L90" i="6"/>
  <c r="F89" i="6"/>
  <c r="H89" i="6"/>
  <c r="I91" i="6" s="1"/>
  <c r="K91" i="6" s="1"/>
  <c r="J89" i="6"/>
  <c r="L89" i="6" s="1"/>
  <c r="K89" i="6"/>
  <c r="H86" i="6"/>
  <c r="F17" i="7" s="1"/>
  <c r="G66" i="6" s="1"/>
  <c r="H66" i="6" s="1"/>
  <c r="J86" i="6"/>
  <c r="G17" i="7" s="1"/>
  <c r="I66" i="6" s="1"/>
  <c r="J66" i="6" s="1"/>
  <c r="H85" i="6"/>
  <c r="J85" i="6"/>
  <c r="E84" i="6"/>
  <c r="F84" i="6" s="1"/>
  <c r="L84" i="6" s="1"/>
  <c r="H84" i="6"/>
  <c r="J84" i="6"/>
  <c r="F83" i="6"/>
  <c r="H83" i="6"/>
  <c r="J83" i="6"/>
  <c r="K83" i="6"/>
  <c r="L83" i="6"/>
  <c r="F82" i="6"/>
  <c r="H82" i="6"/>
  <c r="J82" i="6"/>
  <c r="L82" i="6" s="1"/>
  <c r="K82" i="6"/>
  <c r="F79" i="6"/>
  <c r="E16" i="7" s="1"/>
  <c r="E38" i="6" s="1"/>
  <c r="F78" i="6"/>
  <c r="H78" i="6"/>
  <c r="H79" i="6" s="1"/>
  <c r="F16" i="7" s="1"/>
  <c r="G38" i="6" s="1"/>
  <c r="H38" i="6" s="1"/>
  <c r="J78" i="6"/>
  <c r="K78" i="6"/>
  <c r="L78" i="6"/>
  <c r="F77" i="6"/>
  <c r="H77" i="6"/>
  <c r="J77" i="6"/>
  <c r="J79" i="6" s="1"/>
  <c r="G16" i="7" s="1"/>
  <c r="I38" i="6" s="1"/>
  <c r="J38" i="6" s="1"/>
  <c r="K77" i="6"/>
  <c r="L77" i="6"/>
  <c r="H74" i="6"/>
  <c r="F15" i="7" s="1"/>
  <c r="G37" i="6" s="1"/>
  <c r="H37" i="6" s="1"/>
  <c r="J74" i="6"/>
  <c r="G15" i="7" s="1"/>
  <c r="I37" i="6" s="1"/>
  <c r="J37" i="6" s="1"/>
  <c r="F73" i="6"/>
  <c r="H73" i="6"/>
  <c r="J73" i="6"/>
  <c r="K73" i="6"/>
  <c r="F72" i="6"/>
  <c r="F74" i="6" s="1"/>
  <c r="H72" i="6"/>
  <c r="J72" i="6"/>
  <c r="K72" i="6"/>
  <c r="F71" i="6"/>
  <c r="H71" i="6"/>
  <c r="J71" i="6"/>
  <c r="K71" i="6"/>
  <c r="F63" i="6"/>
  <c r="H63" i="6"/>
  <c r="F13" i="7" s="1"/>
  <c r="G14" i="6" s="1"/>
  <c r="H14" i="6" s="1"/>
  <c r="J63" i="6"/>
  <c r="G13" i="7" s="1"/>
  <c r="I14" i="6" s="1"/>
  <c r="J14" i="6" s="1"/>
  <c r="F62" i="6"/>
  <c r="H62" i="6"/>
  <c r="J62" i="6"/>
  <c r="K62" i="6"/>
  <c r="L62" i="6"/>
  <c r="F57" i="6"/>
  <c r="H57" i="6"/>
  <c r="J57" i="6"/>
  <c r="K57" i="6"/>
  <c r="F55" i="6"/>
  <c r="H55" i="6"/>
  <c r="J55" i="6"/>
  <c r="K55" i="6"/>
  <c r="F54" i="6"/>
  <c r="H54" i="6"/>
  <c r="J54" i="6"/>
  <c r="K54" i="6"/>
  <c r="L54" i="6"/>
  <c r="F50" i="6"/>
  <c r="H50" i="6"/>
  <c r="J50" i="6"/>
  <c r="K50" i="6"/>
  <c r="F48" i="6"/>
  <c r="H48" i="6"/>
  <c r="J48" i="6"/>
  <c r="K48" i="6"/>
  <c r="F44" i="6"/>
  <c r="H44" i="6"/>
  <c r="J44" i="6"/>
  <c r="K44" i="6"/>
  <c r="F42" i="6"/>
  <c r="H42" i="6"/>
  <c r="F29" i="6"/>
  <c r="E7" i="7" s="1"/>
  <c r="H29" i="6"/>
  <c r="F7" i="7" s="1"/>
  <c r="F28" i="6"/>
  <c r="H28" i="6"/>
  <c r="J28" i="6"/>
  <c r="K28" i="6"/>
  <c r="L28" i="6"/>
  <c r="F27" i="6"/>
  <c r="H27" i="6"/>
  <c r="J27" i="6"/>
  <c r="J29" i="6" s="1"/>
  <c r="G7" i="7" s="1"/>
  <c r="K27" i="6"/>
  <c r="F23" i="6"/>
  <c r="H23" i="6"/>
  <c r="F22" i="6"/>
  <c r="H22" i="6"/>
  <c r="J22" i="6"/>
  <c r="K22" i="6"/>
  <c r="F21" i="6"/>
  <c r="J21" i="6"/>
  <c r="H20" i="6"/>
  <c r="J20" i="6"/>
  <c r="F19" i="6"/>
  <c r="E20" i="6" s="1"/>
  <c r="F20" i="6" s="1"/>
  <c r="H19" i="6"/>
  <c r="J19" i="6"/>
  <c r="K19" i="6"/>
  <c r="H15" i="6"/>
  <c r="J15" i="6"/>
  <c r="F13" i="6"/>
  <c r="H13" i="6"/>
  <c r="J13" i="6"/>
  <c r="K13" i="6"/>
  <c r="F12" i="6"/>
  <c r="H12" i="6"/>
  <c r="F9" i="6"/>
  <c r="F8" i="6"/>
  <c r="H8" i="6"/>
  <c r="F7" i="6"/>
  <c r="H7" i="6"/>
  <c r="J7" i="6"/>
  <c r="K7" i="6"/>
  <c r="F6" i="6"/>
  <c r="H6" i="6"/>
  <c r="H9" i="6" s="1"/>
  <c r="F4" i="7" s="1"/>
  <c r="J6" i="6"/>
  <c r="K6" i="6"/>
  <c r="L6" i="6"/>
  <c r="H142" i="8"/>
  <c r="G12" i="9" s="1"/>
  <c r="H12" i="9" s="1"/>
  <c r="F122" i="8"/>
  <c r="H122" i="8"/>
  <c r="J122" i="8"/>
  <c r="K122" i="8"/>
  <c r="F121" i="8"/>
  <c r="H121" i="8"/>
  <c r="J121" i="8"/>
  <c r="J142" i="8" s="1"/>
  <c r="I12" i="9" s="1"/>
  <c r="J12" i="9" s="1"/>
  <c r="K121" i="8"/>
  <c r="F119" i="8"/>
  <c r="E11" i="9" s="1"/>
  <c r="F101" i="8"/>
  <c r="L101" i="8" s="1"/>
  <c r="H101" i="8"/>
  <c r="J101" i="8"/>
  <c r="K101" i="8"/>
  <c r="F100" i="8"/>
  <c r="H100" i="8"/>
  <c r="J100" i="8"/>
  <c r="K100" i="8"/>
  <c r="F99" i="8"/>
  <c r="H99" i="8"/>
  <c r="J99" i="8"/>
  <c r="K99" i="8"/>
  <c r="F98" i="8"/>
  <c r="F75" i="8"/>
  <c r="F96" i="8" s="1"/>
  <c r="E10" i="9" s="1"/>
  <c r="J73" i="8"/>
  <c r="I9" i="9" s="1"/>
  <c r="J9" i="9" s="1"/>
  <c r="F73" i="8"/>
  <c r="E9" i="9" s="1"/>
  <c r="F53" i="8"/>
  <c r="H53" i="8"/>
  <c r="H73" i="8" s="1"/>
  <c r="G9" i="9" s="1"/>
  <c r="H9" i="9" s="1"/>
  <c r="J53" i="8"/>
  <c r="K53" i="8"/>
  <c r="F52" i="8"/>
  <c r="H52" i="8"/>
  <c r="J52" i="8"/>
  <c r="K52" i="8"/>
  <c r="F40" i="8"/>
  <c r="H40" i="8"/>
  <c r="F39" i="8"/>
  <c r="H39" i="8"/>
  <c r="J39" i="8"/>
  <c r="K39" i="8"/>
  <c r="F38" i="8"/>
  <c r="L38" i="8" s="1"/>
  <c r="H38" i="8"/>
  <c r="J38" i="8"/>
  <c r="K38" i="8"/>
  <c r="F37" i="8"/>
  <c r="H37" i="8"/>
  <c r="J37" i="8"/>
  <c r="K37" i="8"/>
  <c r="F35" i="8"/>
  <c r="H35" i="8"/>
  <c r="J35" i="8"/>
  <c r="K35" i="8"/>
  <c r="L35" i="8"/>
  <c r="F34" i="8"/>
  <c r="H34" i="8"/>
  <c r="J34" i="8"/>
  <c r="K34" i="8"/>
  <c r="F33" i="8"/>
  <c r="J33" i="8"/>
  <c r="F32" i="8"/>
  <c r="H32" i="8"/>
  <c r="J32" i="8"/>
  <c r="K32" i="8"/>
  <c r="L32" i="8"/>
  <c r="F31" i="8"/>
  <c r="H31" i="8"/>
  <c r="J31" i="8"/>
  <c r="K31" i="8"/>
  <c r="L31" i="8"/>
  <c r="F30" i="8"/>
  <c r="H30" i="8"/>
  <c r="J30" i="8"/>
  <c r="K30" i="8"/>
  <c r="F29" i="8"/>
  <c r="F7" i="8"/>
  <c r="H7" i="8"/>
  <c r="J7" i="8"/>
  <c r="J27" i="8" s="1"/>
  <c r="I7" i="9" s="1"/>
  <c r="J7" i="9" s="1"/>
  <c r="K7" i="8"/>
  <c r="L7" i="8"/>
  <c r="F6" i="8"/>
  <c r="H6" i="8"/>
  <c r="J6" i="8"/>
  <c r="K6" i="8"/>
  <c r="K32" i="6" l="1"/>
  <c r="L32" i="6"/>
  <c r="K75" i="8"/>
  <c r="L75" i="8"/>
  <c r="L96" i="8" s="1"/>
  <c r="L122" i="8"/>
  <c r="F142" i="8"/>
  <c r="E12" i="9" s="1"/>
  <c r="K12" i="9" s="1"/>
  <c r="L121" i="8"/>
  <c r="L142" i="8" s="1"/>
  <c r="L100" i="8"/>
  <c r="L99" i="8"/>
  <c r="K98" i="8"/>
  <c r="L98" i="8"/>
  <c r="L119" i="8" s="1"/>
  <c r="F10" i="9"/>
  <c r="K10" i="9"/>
  <c r="L53" i="8"/>
  <c r="K9" i="9"/>
  <c r="F9" i="9"/>
  <c r="L52" i="8"/>
  <c r="L73" i="8" s="1"/>
  <c r="J40" i="8"/>
  <c r="L40" i="8" s="1"/>
  <c r="L39" i="8"/>
  <c r="L37" i="8"/>
  <c r="L34" i="8"/>
  <c r="K33" i="8"/>
  <c r="H33" i="8"/>
  <c r="L33" i="8" s="1"/>
  <c r="L30" i="8"/>
  <c r="J50" i="8"/>
  <c r="I8" i="9" s="1"/>
  <c r="J8" i="9" s="1"/>
  <c r="I6" i="9" s="1"/>
  <c r="J6" i="9" s="1"/>
  <c r="I5" i="9" s="1"/>
  <c r="J5" i="9" s="1"/>
  <c r="E12" i="10" s="1"/>
  <c r="H50" i="8"/>
  <c r="G8" i="9" s="1"/>
  <c r="H8" i="9" s="1"/>
  <c r="K29" i="8"/>
  <c r="L29" i="8"/>
  <c r="H27" i="8"/>
  <c r="G7" i="9" s="1"/>
  <c r="H7" i="9" s="1"/>
  <c r="L6" i="8"/>
  <c r="L27" i="8" s="1"/>
  <c r="F27" i="8"/>
  <c r="E7" i="9" s="1"/>
  <c r="L117" i="6"/>
  <c r="F118" i="6"/>
  <c r="L118" i="6" s="1"/>
  <c r="D33" i="4"/>
  <c r="N33" i="4"/>
  <c r="N32" i="4"/>
  <c r="D32" i="4"/>
  <c r="L114" i="6"/>
  <c r="L111" i="6"/>
  <c r="L110" i="6"/>
  <c r="L109" i="6"/>
  <c r="J106" i="6"/>
  <c r="G20" i="7" s="1"/>
  <c r="I58" i="6" s="1"/>
  <c r="J58" i="6" s="1"/>
  <c r="H106" i="6"/>
  <c r="F20" i="7" s="1"/>
  <c r="G58" i="6" s="1"/>
  <c r="H58" i="6" s="1"/>
  <c r="L104" i="6"/>
  <c r="K98" i="6"/>
  <c r="L98" i="6"/>
  <c r="L97" i="6"/>
  <c r="L96" i="6"/>
  <c r="H101" i="6"/>
  <c r="F19" i="7" s="1"/>
  <c r="E100" i="6"/>
  <c r="F100" i="6" s="1"/>
  <c r="I99" i="6"/>
  <c r="J99" i="6" s="1"/>
  <c r="H92" i="6"/>
  <c r="F18" i="7" s="1"/>
  <c r="G67" i="6" s="1"/>
  <c r="H67" i="6" s="1"/>
  <c r="H68" i="6" s="1"/>
  <c r="F14" i="7" s="1"/>
  <c r="G36" i="6" s="1"/>
  <c r="H36" i="6" s="1"/>
  <c r="H39" i="6" s="1"/>
  <c r="F9" i="7" s="1"/>
  <c r="E18" i="7"/>
  <c r="F38" i="6"/>
  <c r="K38" i="6"/>
  <c r="L73" i="6"/>
  <c r="L72" i="6"/>
  <c r="L74" i="6"/>
  <c r="L71" i="6"/>
  <c r="E15" i="7"/>
  <c r="E37" i="6" s="1"/>
  <c r="F37" i="6" s="1"/>
  <c r="L37" i="6" s="1"/>
  <c r="L63" i="6"/>
  <c r="L57" i="6"/>
  <c r="L55" i="6"/>
  <c r="L50" i="6"/>
  <c r="L48" i="6"/>
  <c r="L44" i="6"/>
  <c r="J42" i="6"/>
  <c r="L38" i="6"/>
  <c r="L33" i="6"/>
  <c r="E8" i="7"/>
  <c r="H7" i="7"/>
  <c r="L27" i="6"/>
  <c r="L29" i="6"/>
  <c r="L22" i="6"/>
  <c r="H24" i="6"/>
  <c r="F6" i="7" s="1"/>
  <c r="I23" i="6"/>
  <c r="J23" i="6" s="1"/>
  <c r="J24" i="6" s="1"/>
  <c r="G6" i="7" s="1"/>
  <c r="K21" i="6"/>
  <c r="L21" i="6"/>
  <c r="L20" i="6"/>
  <c r="F24" i="6"/>
  <c r="L19" i="6"/>
  <c r="H16" i="6"/>
  <c r="F5" i="7" s="1"/>
  <c r="L13" i="6"/>
  <c r="E15" i="6"/>
  <c r="F15" i="6" s="1"/>
  <c r="L15" i="6" s="1"/>
  <c r="J16" i="6"/>
  <c r="G5" i="7" s="1"/>
  <c r="L12" i="6"/>
  <c r="K12" i="6"/>
  <c r="L7" i="6"/>
  <c r="I8" i="6"/>
  <c r="K8" i="6" s="1"/>
  <c r="E39" i="4"/>
  <c r="D44" i="4"/>
  <c r="E44" i="4" s="1"/>
  <c r="E43" i="4"/>
  <c r="E57" i="4"/>
  <c r="E63" i="4"/>
  <c r="K116" i="6"/>
  <c r="E21" i="7"/>
  <c r="K110" i="6"/>
  <c r="J91" i="6"/>
  <c r="K84" i="6"/>
  <c r="E85" i="6"/>
  <c r="H16" i="7"/>
  <c r="L79" i="6"/>
  <c r="E13" i="7"/>
  <c r="K20" i="6"/>
  <c r="E4" i="7"/>
  <c r="K11" i="9"/>
  <c r="F11" i="9"/>
  <c r="L11" i="9" s="1"/>
  <c r="T11" i="9" s="1"/>
  <c r="E20" i="10" s="1"/>
  <c r="L10" i="9"/>
  <c r="T10" i="9" s="1"/>
  <c r="E11" i="10" s="1"/>
  <c r="L9" i="9"/>
  <c r="H8" i="7" l="1"/>
  <c r="E36" i="8"/>
  <c r="F12" i="9"/>
  <c r="L12" i="9" s="1"/>
  <c r="T12" i="9" s="1"/>
  <c r="E29" i="10" s="1"/>
  <c r="G6" i="9"/>
  <c r="H6" i="9" s="1"/>
  <c r="G5" i="9" s="1"/>
  <c r="H5" i="9" s="1"/>
  <c r="E8" i="10" s="1"/>
  <c r="J27" i="9"/>
  <c r="K7" i="9"/>
  <c r="F7" i="9"/>
  <c r="E22" i="7"/>
  <c r="H22" i="7" s="1"/>
  <c r="A33" i="4"/>
  <c r="E33" i="4"/>
  <c r="A32" i="4"/>
  <c r="E32" i="4"/>
  <c r="N31" i="4"/>
  <c r="D31" i="4"/>
  <c r="H21" i="7"/>
  <c r="E105" i="6"/>
  <c r="K99" i="6"/>
  <c r="K100" i="6"/>
  <c r="L99" i="6"/>
  <c r="J101" i="6"/>
  <c r="G19" i="7" s="1"/>
  <c r="G49" i="6"/>
  <c r="H49" i="6" s="1"/>
  <c r="H51" i="6" s="1"/>
  <c r="F11" i="7" s="1"/>
  <c r="G56" i="6"/>
  <c r="H56" i="6" s="1"/>
  <c r="H59" i="6" s="1"/>
  <c r="F12" i="7" s="1"/>
  <c r="G43" i="6"/>
  <c r="H43" i="6" s="1"/>
  <c r="H45" i="6" s="1"/>
  <c r="F10" i="7" s="1"/>
  <c r="L100" i="6"/>
  <c r="F101" i="6"/>
  <c r="L91" i="6"/>
  <c r="J92" i="6"/>
  <c r="E67" i="6"/>
  <c r="K37" i="6"/>
  <c r="H15" i="7"/>
  <c r="H13" i="7"/>
  <c r="E14" i="6"/>
  <c r="L42" i="6"/>
  <c r="K23" i="6"/>
  <c r="L24" i="6"/>
  <c r="L23" i="6"/>
  <c r="E6" i="7"/>
  <c r="H6" i="7" s="1"/>
  <c r="K15" i="6"/>
  <c r="J8" i="6"/>
  <c r="L8" i="6" s="1"/>
  <c r="J9" i="6"/>
  <c r="F85" i="6"/>
  <c r="K85" i="6"/>
  <c r="F36" i="8" l="1"/>
  <c r="K36" i="8"/>
  <c r="H27" i="9"/>
  <c r="E18" i="10"/>
  <c r="E17" i="10"/>
  <c r="E15" i="10"/>
  <c r="E16" i="10" s="1"/>
  <c r="E9" i="10"/>
  <c r="E10" i="10" s="1"/>
  <c r="L7" i="9"/>
  <c r="A31" i="4"/>
  <c r="D34" i="4"/>
  <c r="E34" i="4" s="1"/>
  <c r="E31" i="4"/>
  <c r="D45" i="4"/>
  <c r="E45" i="4" s="1"/>
  <c r="F105" i="6"/>
  <c r="K105" i="6"/>
  <c r="L101" i="6"/>
  <c r="E19" i="7"/>
  <c r="I49" i="6"/>
  <c r="J49" i="6" s="1"/>
  <c r="J51" i="6" s="1"/>
  <c r="G11" i="7" s="1"/>
  <c r="I56" i="6"/>
  <c r="J56" i="6" s="1"/>
  <c r="J59" i="6" s="1"/>
  <c r="G12" i="7" s="1"/>
  <c r="I43" i="6"/>
  <c r="J43" i="6" s="1"/>
  <c r="J45" i="6" s="1"/>
  <c r="G10" i="7" s="1"/>
  <c r="G18" i="7"/>
  <c r="L92" i="6"/>
  <c r="F67" i="6"/>
  <c r="L85" i="6"/>
  <c r="F86" i="6"/>
  <c r="F14" i="6"/>
  <c r="K14" i="6"/>
  <c r="G4" i="7"/>
  <c r="H4" i="7" s="1"/>
  <c r="L9" i="6"/>
  <c r="L36" i="8" l="1"/>
  <c r="L50" i="8" s="1"/>
  <c r="F50" i="8"/>
  <c r="E8" i="9" s="1"/>
  <c r="E13" i="10"/>
  <c r="E14" i="10"/>
  <c r="F106" i="6"/>
  <c r="L105" i="6"/>
  <c r="H19" i="7"/>
  <c r="E43" i="6"/>
  <c r="E49" i="6"/>
  <c r="E56" i="6"/>
  <c r="I67" i="6"/>
  <c r="H18" i="7"/>
  <c r="L86" i="6"/>
  <c r="E17" i="7"/>
  <c r="L14" i="6"/>
  <c r="F16" i="6"/>
  <c r="F8" i="9" l="1"/>
  <c r="K8" i="9"/>
  <c r="L106" i="6"/>
  <c r="E20" i="7"/>
  <c r="F56" i="6"/>
  <c r="K56" i="6"/>
  <c r="F49" i="6"/>
  <c r="K49" i="6"/>
  <c r="K43" i="6"/>
  <c r="F43" i="6"/>
  <c r="J67" i="6"/>
  <c r="K67" i="6"/>
  <c r="E66" i="6"/>
  <c r="H17" i="7"/>
  <c r="E5" i="7"/>
  <c r="H5" i="7" s="1"/>
  <c r="L16" i="6"/>
  <c r="L8" i="9" l="1"/>
  <c r="E6" i="9"/>
  <c r="E58" i="6"/>
  <c r="H20" i="7"/>
  <c r="L43" i="6"/>
  <c r="F45" i="6"/>
  <c r="L49" i="6"/>
  <c r="F51" i="6"/>
  <c r="L56" i="6"/>
  <c r="J68" i="6"/>
  <c r="G14" i="7" s="1"/>
  <c r="I36" i="6" s="1"/>
  <c r="J36" i="6" s="1"/>
  <c r="J39" i="6" s="1"/>
  <c r="G9" i="7" s="1"/>
  <c r="L67" i="6"/>
  <c r="K66" i="6"/>
  <c r="F66" i="6"/>
  <c r="F6" i="9" l="1"/>
  <c r="K6" i="9"/>
  <c r="F58" i="6"/>
  <c r="K58" i="6"/>
  <c r="E11" i="7"/>
  <c r="H11" i="7" s="1"/>
  <c r="L51" i="6"/>
  <c r="E10" i="7"/>
  <c r="H10" i="7" s="1"/>
  <c r="L45" i="6"/>
  <c r="F68" i="6"/>
  <c r="L66" i="6"/>
  <c r="L6" i="9" l="1"/>
  <c r="E5" i="9"/>
  <c r="L58" i="6"/>
  <c r="F59" i="6"/>
  <c r="E14" i="7"/>
  <c r="L68" i="6"/>
  <c r="K5" i="9" l="1"/>
  <c r="F5" i="9"/>
  <c r="L59" i="6"/>
  <c r="E12" i="7"/>
  <c r="H12" i="7" s="1"/>
  <c r="H14" i="7"/>
  <c r="E36" i="6"/>
  <c r="L5" i="9" l="1"/>
  <c r="L27" i="9" s="1"/>
  <c r="E4" i="10"/>
  <c r="E7" i="10" s="1"/>
  <c r="F27" i="9"/>
  <c r="K36" i="6"/>
  <c r="F36" i="6"/>
  <c r="E24" i="10" l="1"/>
  <c r="E23" i="10"/>
  <c r="E22" i="10"/>
  <c r="E21" i="10"/>
  <c r="E19" i="10"/>
  <c r="E25" i="10" s="1"/>
  <c r="E26" i="10" s="1"/>
  <c r="E27" i="10" s="1"/>
  <c r="E28" i="10" s="1"/>
  <c r="L36" i="6"/>
  <c r="F39" i="6"/>
  <c r="E30" i="10" l="1"/>
  <c r="E9" i="7"/>
  <c r="H9" i="7" s="1"/>
  <c r="L39" i="6"/>
  <c r="E31" i="10" l="1"/>
  <c r="E33" i="10" s="1"/>
</calcChain>
</file>

<file path=xl/sharedStrings.xml><?xml version="1.0" encoding="utf-8"?>
<sst xmlns="http://schemas.openxmlformats.org/spreadsheetml/2006/main" count="3633" uniqueCount="785">
  <si>
    <t>공 종 별 집 계 표</t>
  </si>
  <si>
    <t>[ 1100고지 습지보호지역 노후탐방로 정비사업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</si>
  <si>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</si>
  <si>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</si>
  <si>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</si>
  <si>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</si>
  <si>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</si>
  <si>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</si>
  <si>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</si>
  <si>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</si>
  <si>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</si>
  <si>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</si>
  <si>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</si>
  <si>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</si>
  <si>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</si>
  <si>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</si>
  <si>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</si>
  <si>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</si>
  <si>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</si>
  <si>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</si>
  <si>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</si>
  <si>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</si>
  <si>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</si>
  <si>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</si>
  <si>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</si>
  <si>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</si>
  <si>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</si>
  <si>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</si>
  <si>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</si>
  <si>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</si>
  <si>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</si>
  <si>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</si>
  <si>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</si>
  <si>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</si>
  <si>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</si>
  <si>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</si>
  <si>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</si>
  <si>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</si>
  <si>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</si>
  <si>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</si>
  <si>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</si>
  <si>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</si>
  <si>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</si>
  <si>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</si>
  <si>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</si>
  <si>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</si>
  <si>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</si>
  <si>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</si>
  <si>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</si>
  <si>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</si>
  <si>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</si>
  <si>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</si>
  <si>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1100고지 습지보호지역 노후탐방로 정비사업</t>
  </si>
  <si>
    <t/>
  </si>
  <si>
    <t>01</t>
  </si>
  <si>
    <t>0101  『노후탐방로 정비사업』</t>
  </si>
  <si>
    <t>0101</t>
  </si>
  <si>
    <t>010101  철  거  공  사</t>
  </si>
  <si>
    <t>010101</t>
  </si>
  <si>
    <t>『노후탐방로 정비사업』</t>
    <phoneticPr fontId="1" type="noConversion"/>
  </si>
  <si>
    <t>합성목재데크 철거</t>
  </si>
  <si>
    <t>M2</t>
  </si>
  <si>
    <t>호표 1</t>
  </si>
  <si>
    <t>51A942C36257E5F4CC28023CE1671B</t>
  </si>
  <si>
    <t>T</t>
  </si>
  <si>
    <t>F</t>
  </si>
  <si>
    <t>01010151A942C36257E5F4CC28023CE1671B</t>
  </si>
  <si>
    <t>콘크리트구조물 헐기(인력)</t>
  </si>
  <si>
    <t>소형브레이커(전기식), 무근, 2.7m3/일당</t>
  </si>
  <si>
    <t>M3</t>
  </si>
  <si>
    <t>호표 2</t>
  </si>
  <si>
    <t>51A8C2130C507B641118163F8D773F</t>
  </si>
  <si>
    <t>01010151A8C2130C507B641118163F8D773F</t>
  </si>
  <si>
    <t>[ 합           계 ]</t>
  </si>
  <si>
    <t>TOTAL</t>
  </si>
  <si>
    <t>010102  부  대  공  사</t>
  </si>
  <si>
    <t>010102</t>
  </si>
  <si>
    <t>합성목재데크 설치</t>
  </si>
  <si>
    <t>T25*W150, 솔리드, 평구조</t>
  </si>
  <si>
    <t>호표 3</t>
  </si>
  <si>
    <t>51A942C36257E5F4CC28023CE1671D</t>
  </si>
  <si>
    <t>01010251A942C36257E5F4CC28023CE1671D</t>
  </si>
  <si>
    <t>합성목재난간 철거 후 재설치</t>
  </si>
  <si>
    <t>속기둥 미철거, 기둥간격 2m, 가로대 4개, 브라켓형</t>
  </si>
  <si>
    <t>M</t>
  </si>
  <si>
    <t>호표 4</t>
  </si>
  <si>
    <t>51A9C2F3CE5198F42118F5F345CAB0</t>
  </si>
  <si>
    <t>01010251A9C2F3CE5198F42118F5F345CAB0</t>
  </si>
  <si>
    <t>합성목재기둥</t>
  </si>
  <si>
    <t>100*100*1200</t>
  </si>
  <si>
    <t>EA</t>
  </si>
  <si>
    <t>50114213B7510B14513861737717ECA0F12F43</t>
  </si>
  <si>
    <t>01010250114213B7510B14513861737717ECA0F12F43</t>
  </si>
  <si>
    <t>합성목재기둥 상부캡</t>
  </si>
  <si>
    <t>50114213B7510B14513861737717ECA0F12F42</t>
  </si>
  <si>
    <t>01010250114213B7510B14513861737717ECA0F12F42</t>
  </si>
  <si>
    <t>합성목재기둥 하부캡</t>
  </si>
  <si>
    <t>50114213B7510B14513861737717ECA0F12F41</t>
  </si>
  <si>
    <t>01010250114213B7510B14513861737717ECA0F12F41</t>
  </si>
  <si>
    <t>하이브리드 가로대</t>
  </si>
  <si>
    <t>75*45*2000</t>
  </si>
  <si>
    <t>50114213B7510B14513861737717ECA0F12F40</t>
  </si>
  <si>
    <t>01010250114213B7510B14513861737717ECA0F12F40</t>
  </si>
  <si>
    <t>하이브리드 가로대 브라켓</t>
  </si>
  <si>
    <t>50114213B7510B14513861737717ECA0F12F4F</t>
  </si>
  <si>
    <t>01010250114213B7510B14513861737717ECA0F12F4F</t>
  </si>
  <si>
    <t>재료 및 폐기물 소운반</t>
  </si>
  <si>
    <t>100M 운반 기준</t>
  </si>
  <si>
    <t>TON</t>
  </si>
  <si>
    <t>호표 5</t>
  </si>
  <si>
    <t>51A932F33D510884DBF8C83EB4F84D</t>
  </si>
  <si>
    <t>01010251A932F33D510884DBF8C83EB4F84D</t>
  </si>
  <si>
    <t>콘크리트기초 설치</t>
  </si>
  <si>
    <t>300*300*300</t>
  </si>
  <si>
    <t>호표 6</t>
  </si>
  <si>
    <t>51A932F33D510884DBF8C83EB4F848</t>
  </si>
  <si>
    <t>01010251A932F33D510884DBF8C83EB4F848</t>
  </si>
  <si>
    <t>아연도각관 설치</t>
  </si>
  <si>
    <t>100*100*2.3T</t>
  </si>
  <si>
    <t>호표 7</t>
  </si>
  <si>
    <t>51A932F33D510884DBF8C83EB4F7A6</t>
  </si>
  <si>
    <t>01010251A932F33D510884DBF8C83EB4F7A6</t>
  </si>
  <si>
    <t>100*50*2.1T</t>
  </si>
  <si>
    <t>호표 8</t>
  </si>
  <si>
    <t>51A932F33D510884DBF8C83EB4F7A3</t>
  </si>
  <si>
    <t>01010251A932F33D510884DBF8C83EB4F7A3</t>
  </si>
  <si>
    <t>아연도각관 설치 화스너 설치</t>
  </si>
  <si>
    <t>ㄱ-75*75*3T</t>
  </si>
  <si>
    <t>호표 9</t>
  </si>
  <si>
    <t>51A932F33D510884DBF8C83EB4F680</t>
  </si>
  <si>
    <t>01010251A932F33D510884DBF8C83EB4F680</t>
  </si>
  <si>
    <t>010103  건설폐기물상차비</t>
  </si>
  <si>
    <t>010103</t>
  </si>
  <si>
    <t>건설폐재류 상차비</t>
  </si>
  <si>
    <t>51E482230F57CD44CD08156A5D3EF2B279D66E</t>
  </si>
  <si>
    <t>01010351E482230F57CD44CD08156A5D3EF2B279D66E</t>
  </si>
  <si>
    <t>혼합건설폐기물 상차비</t>
  </si>
  <si>
    <t>51E482230F57CD44CD08156A5D3EF2B279D66C</t>
  </si>
  <si>
    <t>01010351E482230F57CD44CD08156A5D3EF2B279D66C</t>
  </si>
  <si>
    <t>0102  『운   반   비』</t>
  </si>
  <si>
    <t>0102</t>
  </si>
  <si>
    <t>3</t>
  </si>
  <si>
    <t>합성목재기둥, 캡, 하이브리드가로대 운반비</t>
  </si>
  <si>
    <t>8TON, 생산지 &gt;  목포항 &gt; 상선 &gt; 제주항 &gt;  현장</t>
  </si>
  <si>
    <t>대</t>
  </si>
  <si>
    <t>산근 1</t>
  </si>
  <si>
    <t>51A892D3CB583B942D1836F4061283</t>
  </si>
  <si>
    <t>010251A892D3CB583B942D1836F4061283</t>
  </si>
  <si>
    <t>0103  『건설폐기물처리비』</t>
  </si>
  <si>
    <t>0103</t>
  </si>
  <si>
    <t>B</t>
  </si>
  <si>
    <t>건설폐기물처리비</t>
  </si>
  <si>
    <t>건설폐재류</t>
  </si>
  <si>
    <t>51E482230F57CD44CD08156A5D3F9BEA864C8A</t>
  </si>
  <si>
    <t>010351E482230F57CD44CD08156A5D3F9BEA864C8A</t>
  </si>
  <si>
    <t>혼합건설폐기물</t>
  </si>
  <si>
    <t>51E482230F57CD44CD08156A5D3F9BEA864C8C</t>
  </si>
  <si>
    <t>010351E482230F57CD44CD08156A5D3F9BEA864C8C</t>
  </si>
  <si>
    <t>건설폐재류 운반비</t>
  </si>
  <si>
    <t>15톤 덤프트럭, 30km</t>
  </si>
  <si>
    <t>51E482230F57CD44CD08156A5D3EF2B279D4A0</t>
  </si>
  <si>
    <t>010351E482230F57CD44CD08156A5D3EF2B279D4A0</t>
  </si>
  <si>
    <t>혼합건설폐기물 운반비</t>
  </si>
  <si>
    <t>16톤 암롤트럭, 30km</t>
  </si>
  <si>
    <t>51E482230F57CD44CD08156A5D3EF2B279D39A</t>
  </si>
  <si>
    <t>010351E482230F57CD44CD08156A5D3EF2B279D39A</t>
  </si>
  <si>
    <t>0104  『철  거  고  재』</t>
  </si>
  <si>
    <t>0104</t>
  </si>
  <si>
    <t>C</t>
  </si>
  <si>
    <t>철거고재</t>
  </si>
  <si>
    <t>고철</t>
  </si>
  <si>
    <t>kg</t>
  </si>
  <si>
    <t>56AC8213F55B0BA4CF180607A8A2FD2B42BCB9</t>
  </si>
  <si>
    <t>010456AC8213F55B0BA4CF180607A8A2FD2B42BCB9</t>
  </si>
  <si>
    <t>알루미늄</t>
  </si>
  <si>
    <t>56AC8213F55B0BA4CF180607A94EE6A72BEF61</t>
  </si>
  <si>
    <t>010456AC8213F55B0BA4CF180607A94EE6A72BEF61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</si>
  <si>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</si>
  <si>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</si>
  <si>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</si>
  <si>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</si>
  <si>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</si>
  <si>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</si>
  <si>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</si>
  <si>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</si>
  <si>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</si>
  <si>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</si>
  <si>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</si>
  <si>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</si>
  <si>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 위 대 가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</si>
  <si>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</si>
  <si>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</si>
  <si>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</si>
  <si>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</si>
  <si>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</si>
  <si>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</si>
  <si>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</si>
  <si>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</si>
  <si>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</si>
  <si>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합성목재데크 철거    M2  건축 4-3-4의 20%   ( 호표 1 )</t>
  </si>
  <si>
    <t>건축 4-3-4의 20%</t>
  </si>
  <si>
    <t>건축목공</t>
  </si>
  <si>
    <t>일반공사 직종</t>
  </si>
  <si>
    <t>인</t>
  </si>
  <si>
    <t>51719253125C245445081F4DD68F06458909E0</t>
  </si>
  <si>
    <t>51A942C36257E5F4CC28023CE1671B51719253125C245445081F4DD68F06458909E0</t>
  </si>
  <si>
    <t>보통인부</t>
  </si>
  <si>
    <t>51719253125C245445081F4DD68F0645890B92</t>
  </si>
  <si>
    <t>51A942C36257E5F4CC28023CE1671B51719253125C245445081F4DD68F0645890B92</t>
  </si>
  <si>
    <t>공구손료</t>
  </si>
  <si>
    <t>인력품의 2%</t>
  </si>
  <si>
    <t>식</t>
  </si>
  <si>
    <t>50B082A32352B3B46428C94F24D3001</t>
  </si>
  <si>
    <t>51A942C36257E5F4CC28023CE1671B50B082A32352B3B46428C94F24D3001</t>
  </si>
  <si>
    <t xml:space="preserve"> [ 합          계 ]</t>
  </si>
  <si>
    <t>콘크리트구조물 헐기(인력)  소형브레이커(전기식), 무근, 2.7m3/일당  M3  유지 3-1-1   ( 호표 2 )</t>
  </si>
  <si>
    <t>유지 3-1-1</t>
  </si>
  <si>
    <t>착암공</t>
  </si>
  <si>
    <t>51719253125C245445081F4DD68F0645890A8F</t>
  </si>
  <si>
    <t>51A8C2130C507B641118163F8D773F51719253125C245445081F4DD68F0645890A8F</t>
  </si>
  <si>
    <t>51A8C2130C507B641118163F8D773F51719253125C245445081F4DD68F0645890B92</t>
  </si>
  <si>
    <t>소형브레이커(전기식)</t>
  </si>
  <si>
    <t>1.5kw</t>
  </si>
  <si>
    <t>HR</t>
  </si>
  <si>
    <t>호표 10</t>
  </si>
  <si>
    <t>56BD0213665E5E84F148F407D3E83AF8A25F4779</t>
  </si>
  <si>
    <t>51A8C2130C507B641118163F8D773F56BD0213665E5E84F148F407D3E83AF8A25F4779</t>
  </si>
  <si>
    <t>잡재료</t>
  </si>
  <si>
    <t>인력품의 1%</t>
  </si>
  <si>
    <t>51A8C2130C507B641118163F8D773F50B082A32352B3B46428C94F24D3001</t>
  </si>
  <si>
    <t>합성목재데크 설치  T25*W150, 솔리드, 평구조  M2  건축 4-3-4   ( 호표 3 )</t>
  </si>
  <si>
    <t>건축 4-3-4</t>
  </si>
  <si>
    <t>합성목재데크</t>
  </si>
  <si>
    <t>T25, 솔리드</t>
  </si>
  <si>
    <t>50114213B7510B14513861737717ECA0F12EA1</t>
  </si>
  <si>
    <t>51A942C36257E5F4CC28023CE1671D50114213B7510B14513861737717ECA0F12EA1</t>
  </si>
  <si>
    <t>잡재료 및 소모재료(데크 연결용 클립, 고정피스 등</t>
  </si>
  <si>
    <t>주재료비의 6%</t>
  </si>
  <si>
    <t>51A942C36257E5F4CC28023CE1671D50B082A32352B3B46428C94F24D0002</t>
  </si>
  <si>
    <t>51A942C36257E5F4CC28023CE1671D51719253125C245445081F4DD68F06458909E0</t>
  </si>
  <si>
    <t>51A942C36257E5F4CC28023CE1671D51719253125C245445081F4DD68F0645890B92</t>
  </si>
  <si>
    <t>50B082A32352B3B46428C94F24D0002</t>
  </si>
  <si>
    <t>51A942C36257E5F4CC28023CE1671D50B082A32352B3B46428C94F24D3001</t>
  </si>
  <si>
    <t>합성목재난간 철거 후 재설치  속기둥 미철거, 기둥간격 2m, 가로대 4개, 브라켓형  M  공2-8-10,금액준용   ( 호표 4 )</t>
  </si>
  <si>
    <t>공2-8-10,금액준용</t>
  </si>
  <si>
    <t>특별인부</t>
  </si>
  <si>
    <t>51719253125C245445081F4DD68F0645890B93</t>
  </si>
  <si>
    <t>51A9C2F3CE5198F42118F5F345CAB051719253125C245445081F4DD68F0645890B93</t>
  </si>
  <si>
    <t>51A9C2F3CE5198F42118F5F345CAB051719253125C245445081F4DD68F0645890B92</t>
  </si>
  <si>
    <t>재료 및 폐기물 소운반  100M 운반 기준  TON  삭제 토목 9-3   ( 호표 5 )</t>
  </si>
  <si>
    <t>삭제 토목 9-3</t>
  </si>
  <si>
    <t>인력 소운반</t>
  </si>
  <si>
    <t>L=100m</t>
  </si>
  <si>
    <t>산근 2</t>
  </si>
  <si>
    <t>518542136852B4E46468EDF79F1312</t>
  </si>
  <si>
    <t>51A932F33D510884DBF8C83EB4F84D518542136852B4E46468EDF79F1312</t>
  </si>
  <si>
    <t>콘크리트기초 설치  300*300*300  EA  삭제 토목 9-3   ( 호표 6 )</t>
  </si>
  <si>
    <t>합판거푸집 설치 및 해체</t>
  </si>
  <si>
    <t>간단 6회, 수직고 7m까지</t>
  </si>
  <si>
    <t>호표 11</t>
  </si>
  <si>
    <t>51A99243905577A46B08A0BC62ECA7</t>
  </si>
  <si>
    <t>51A932F33D510884DBF8C83EB4F84851A99243905577A46B08A0BC62ECA7</t>
  </si>
  <si>
    <t>배합설계 재료</t>
  </si>
  <si>
    <t>골재 25mm, 배합종류 (B)</t>
  </si>
  <si>
    <t>호표 12</t>
  </si>
  <si>
    <t>51A99243E8566AC45BF82ACDD3C9D6</t>
  </si>
  <si>
    <t>51A932F33D510884DBF8C83EB4F84851A99243E8566AC45BF82ACDD3C9D6</t>
  </si>
  <si>
    <t>콘크리트 인력비빔 타설</t>
  </si>
  <si>
    <t>무근구조물</t>
  </si>
  <si>
    <t>호표 13</t>
  </si>
  <si>
    <t>51A99243E8566AC476982A80AB3143</t>
  </si>
  <si>
    <t>51A932F33D510884DBF8C83EB4F84851A99243E8566AC476982A80AB3143</t>
  </si>
  <si>
    <t>아연도각관 설치  100*100*2.3T  M  삭제 토목 9-3   ( 호표 7 )</t>
  </si>
  <si>
    <t>아연도각관</t>
  </si>
  <si>
    <t>100*100*t2.3mm, 6.95kg/m</t>
  </si>
  <si>
    <t>56F4B273E25BD8845AE80A3800BC83EAC93853</t>
  </si>
  <si>
    <t>51A932F33D510884DBF8C83EB4F7A656F4B273E25BD8845AE80A3800BC83EAC93853</t>
  </si>
  <si>
    <t>잡철물 제작 및 설치</t>
  </si>
  <si>
    <t>현장제작 설치, 일반철재</t>
  </si>
  <si>
    <t>호표 16</t>
  </si>
  <si>
    <t>51A97273605D95D4A1980EBDF967D6</t>
  </si>
  <si>
    <t>51A932F33D510884DBF8C83EB4F7A651A97273605D95D4A1980EBDF967D6</t>
  </si>
  <si>
    <t>철강설</t>
  </si>
  <si>
    <t>철강설, 고철, 작업설부산물</t>
  </si>
  <si>
    <t>수집상차도</t>
  </si>
  <si>
    <t>56AC8213F55B0BA4CF180607A8A2FD2B42BCB8</t>
  </si>
  <si>
    <t>51A932F33D510884DBF8C83EB4F7A656AC8213F55B0BA4CF180607A8A2FD2B42BCB8</t>
  </si>
  <si>
    <t>아연도각관 설치  100*50*2.1T  M  삭제 토목 9-3   ( 호표 8 )</t>
  </si>
  <si>
    <t>100*50*t2.1mm, 4.7292kg/m</t>
  </si>
  <si>
    <t>56F4B273E25BD8845AE80BC26544644F1FF55B</t>
  </si>
  <si>
    <t>51A932F33D510884DBF8C83EB4F7A356F4B273E25BD8845AE80BC26544644F1FF55B</t>
  </si>
  <si>
    <t>51A932F33D510884DBF8C83EB4F7A351A97273605D95D4A1980EBDF967D6</t>
  </si>
  <si>
    <t>51A932F33D510884DBF8C83EB4F7A356AC8213F55B0BA4CF180607A8A2FD2B42BCB8</t>
  </si>
  <si>
    <t>아연도각관 설치 화스너 설치  ㄱ-75*75*3T  EA  삭제 토목 9-3   ( 호표 9 )</t>
  </si>
  <si>
    <t>일반구조용압연강판</t>
  </si>
  <si>
    <t>일반구조용압연강판, 3.0∼4.0mm</t>
  </si>
  <si>
    <t>5681C2930B55E2B44398EBB0C82946EE6FE886</t>
  </si>
  <si>
    <t>51A932F33D510884DBF8C83EB4F6805681C2930B55E2B44398EBB0C82946EE6FE886</t>
  </si>
  <si>
    <t>아연도금</t>
  </si>
  <si>
    <t>5681C2930B55E2B43138E8D868F2BA3E23EE6B</t>
  </si>
  <si>
    <t>51A932F33D510884DBF8C83EB4F6805681C2930B55E2B43138E8D868F2BA3E23EE6B</t>
  </si>
  <si>
    <t>51A932F33D510884DBF8C83EB4F68051A97273605D95D4A1980EBDF967D6</t>
  </si>
  <si>
    <t>51A932F33D510884DBF8C83EB4F68056AC8213F55B0BA4CF180607A8A2FD2B42BCB8</t>
  </si>
  <si>
    <t>인서트(Insert) 설치(콘크리트)</t>
  </si>
  <si>
    <t>세트앵커, M10*L75mm</t>
  </si>
  <si>
    <t>개</t>
  </si>
  <si>
    <t>호표 17</t>
  </si>
  <si>
    <t>51A9727329547A2459A8DAA63C872B</t>
  </si>
  <si>
    <t>51A932F33D510884DBF8C83EB4F68051A9727329547A2459A8DAA63C872B</t>
  </si>
  <si>
    <t>소형브레이커(전기식)  1.5kw  HR  공통 8-3(5220)   ( 호표 10 )</t>
  </si>
  <si>
    <t>공통 8-3(5220)</t>
  </si>
  <si>
    <t>천원</t>
  </si>
  <si>
    <t>56BD0213665E5E84F148F407D3E83AF8A25F47</t>
  </si>
  <si>
    <t>56BD0213665E5E84F148F407D3E83AF8A25F477956BD0213665E5E84F148F407D3E83AF8A25F47</t>
  </si>
  <si>
    <t>합판거푸집 설치 및 해체  간단 6회, 수직고 7m까지  M2  공통 6-3-1   ( 호표 11 )</t>
  </si>
  <si>
    <t>공통 6-3-1</t>
  </si>
  <si>
    <t>합판거푸집 - 자재비</t>
  </si>
  <si>
    <t>6회</t>
  </si>
  <si>
    <t>호표 14</t>
  </si>
  <si>
    <t>51A99243905577A46B184726B421E2</t>
  </si>
  <si>
    <t>51A99243905577A46B08A0BC62ECA751A99243905577A46B184726B421E2</t>
  </si>
  <si>
    <t>합판거푸집 - 인력투입</t>
  </si>
  <si>
    <t>간단, 수직고 7m까지</t>
  </si>
  <si>
    <t>호표 15</t>
  </si>
  <si>
    <t>51A99243905577A46B184726B420DC</t>
  </si>
  <si>
    <t>51A99243905577A46B08A0BC62ECA751A99243905577A46B184726B420DC</t>
  </si>
  <si>
    <t>배합설계 재료  골재 25mm, 배합종류 (B)  M3  토목 6-1-1.1   ( 호표 12 )</t>
  </si>
  <si>
    <t>토목 6-1-1.1</t>
  </si>
  <si>
    <t>시멘트</t>
  </si>
  <si>
    <t>제주</t>
  </si>
  <si>
    <t>별도</t>
  </si>
  <si>
    <t>5681C2930B54D8F46D987D438DE35419BFFA51</t>
  </si>
  <si>
    <t>51A99243E8566AC45BF82ACDD3C9D65681C2930B54D8F46D987D438DE35419BFFA51</t>
  </si>
  <si>
    <t>모래</t>
  </si>
  <si>
    <t>56AC8213F553355463483D345EC1DB6F7CE90E</t>
  </si>
  <si>
    <t>51A99243E8566AC45BF82ACDD3C9D656AC8213F553355463483D345EC1DB6F7CE90E</t>
  </si>
  <si>
    <t>자갈</t>
  </si>
  <si>
    <t>제주, 25mm, #57</t>
  </si>
  <si>
    <t>56AC8213F55335547DA85EDA9687F06FF0101A</t>
  </si>
  <si>
    <t>51A99243E8566AC45BF82ACDD3C9D656AC8213F55335547DA85EDA9687F06FF0101A</t>
  </si>
  <si>
    <t>콘크리트 인력비빔 타설  무근구조물  M3  공통 6-1-2   ( 호표 13 )</t>
  </si>
  <si>
    <t>공통 6-1-2</t>
  </si>
  <si>
    <t>콘크리트공</t>
  </si>
  <si>
    <t>51719253125C245445081F4DD68F0645890A89</t>
  </si>
  <si>
    <t>51A99243E8566AC476982A80AB314351719253125C245445081F4DD68F0645890A89</t>
  </si>
  <si>
    <t>51A99243E8566AC476982A80AB314351719253125C245445081F4DD68F0645890B92</t>
  </si>
  <si>
    <t>합판거푸집 - 자재비  6회  M2  공통 6-3-1   ( 호표 14 )</t>
  </si>
  <si>
    <t>내수합판</t>
  </si>
  <si>
    <t>내수합판, 1급, 12*1220*2440mm</t>
  </si>
  <si>
    <t>금액제외</t>
  </si>
  <si>
    <t>56AC8213F5506294A428F48A141F3D2132BD73</t>
  </si>
  <si>
    <t>51A99243905577A46B184726B421E256AC8213F5506294A428F48A141F3D2132BD73</t>
  </si>
  <si>
    <t>-</t>
  </si>
  <si>
    <t>각재</t>
  </si>
  <si>
    <t>각재, 외송</t>
  </si>
  <si>
    <t>5681C2930B55E354A948BF76544327F70ACCB7</t>
  </si>
  <si>
    <t>51A99243905577A46B184726B421E25681C2930B55E354A948BF76544327F70ACCB7</t>
  </si>
  <si>
    <t>적용비율</t>
  </si>
  <si>
    <t>주재료비의 32.7%</t>
  </si>
  <si>
    <t>51A99243905577A46B184726B421E250B082A32352B3B46428C94F24D7005</t>
  </si>
  <si>
    <t>소모자재(박리재 등)</t>
  </si>
  <si>
    <t>주재료비의 11%</t>
  </si>
  <si>
    <t>51A99243905577A46B184726B421E250B082A32352B3B46428C94F24D1003</t>
  </si>
  <si>
    <t>합판거푸집 - 인력투입  간단, 수직고 7m까지  M2  공통 6-3-1   ( 호표 15 )</t>
  </si>
  <si>
    <t>형틀목공</t>
  </si>
  <si>
    <t>51719253125C245445081F4DD68F0645890B97</t>
  </si>
  <si>
    <t>51A99243905577A46B184726B420DC51719253125C245445081F4DD68F0645890B97</t>
  </si>
  <si>
    <t>51A99243905577A46B184726B420DC51719253125C245445081F4DD68F0645890B92</t>
  </si>
  <si>
    <t>51A99243905577A46B184726B420DC50B082A32352B3B46428C94F24D3001</t>
  </si>
  <si>
    <t>잡철물 제작 및 설치  현장제작 설치, 일반철재  kg  건축 8-3-1   ( 호표 16 )</t>
  </si>
  <si>
    <t>건축 8-3-1</t>
  </si>
  <si>
    <t>철공</t>
  </si>
  <si>
    <t>51719253125C245445081F4DD68F0645890B99</t>
  </si>
  <si>
    <t>51A97273605D95D4A1980EBDF967D651719253125C245445081F4DD68F0645890B99</t>
  </si>
  <si>
    <t>용접공</t>
  </si>
  <si>
    <t>51719253125C245445081F4DD68F0645890A88</t>
  </si>
  <si>
    <t>51A97273605D95D4A1980EBDF967D651719253125C245445081F4DD68F0645890A88</t>
  </si>
  <si>
    <t>51A97273605D95D4A1980EBDF967D651719253125C245445081F4DD68F0645890B93</t>
  </si>
  <si>
    <t>51A97273605D95D4A1980EBDF967D651719253125C245445081F4DD68F0645890B92</t>
  </si>
  <si>
    <t>인력품의 5%</t>
  </si>
  <si>
    <t>51A97273605D95D4A1980EBDF967D650B082A32352B3B46428C94F24D3001</t>
  </si>
  <si>
    <t>인력품의 3%</t>
  </si>
  <si>
    <t>51A97273605D95D4A1980EBDF967D650B082A32352B3B46428C94F24D0002</t>
  </si>
  <si>
    <t>인서트(Insert) 설치(콘크리트)  세트앵커, M10*L75mm  개  건축 8-1-4   ( 호표 17 )</t>
  </si>
  <si>
    <t>건축 8-1-4</t>
  </si>
  <si>
    <t>세트앵커</t>
  </si>
  <si>
    <t>5681D2B36B5EE2F43288D294900DF4F910FC47</t>
  </si>
  <si>
    <t>51A9727329547A2459A8DAA63C872B5681D2B36B5EE2F43288D294900DF4F910FC47</t>
  </si>
  <si>
    <t>인서트(Insert) 설치</t>
  </si>
  <si>
    <t>설치대상 - 콘크리트</t>
  </si>
  <si>
    <t>호표 18</t>
  </si>
  <si>
    <t>51A9727329547A2459A8DAA63F59DC</t>
  </si>
  <si>
    <t>51A9727329547A2459A8DAA63C872B51A9727329547A2459A8DAA63F59DC</t>
  </si>
  <si>
    <t>인서트(Insert) 설치  설치대상 - 콘크리트  개  건축 8-1-4   ( 호표 18 )</t>
  </si>
  <si>
    <t>내장공</t>
  </si>
  <si>
    <t>51719253125C245445081F4DD68F06458908DC</t>
  </si>
  <si>
    <t>51A9727329547A2459A8DAA63F59DC51719253125C245445081F4DD68F06458908DC</t>
  </si>
  <si>
    <t>인력품의 4%</t>
  </si>
  <si>
    <t>51A9727329547A2459A8DAA63F59DC50B082A32352B3B46428C94F24D3001</t>
  </si>
  <si>
    <t>카고트럭  8ton  HR  공통 8-3,4(2702)   ( 호표 19 )</t>
  </si>
  <si>
    <t>56BD0213665E5904C7684E375FF077B90D5A1469</t>
  </si>
  <si>
    <t>카고트럭</t>
  </si>
  <si>
    <t>8ton</t>
  </si>
  <si>
    <t>호표 19</t>
  </si>
  <si>
    <t>A</t>
  </si>
  <si>
    <t>공통 8-3,4(2702)</t>
  </si>
  <si>
    <t>56BD0213665E5904C7684E375FF4D2A936FDB7</t>
  </si>
  <si>
    <t>56BD0213665E5904C7684E375FF077B90D5A146956BD0213665E5904C7684E375FF4D2A936FDB7</t>
  </si>
  <si>
    <t>경유</t>
  </si>
  <si>
    <t>저유황 0.001%</t>
  </si>
  <si>
    <t>L</t>
  </si>
  <si>
    <t>51E3C263A65BE11438F88BB5A24341D51863B4</t>
  </si>
  <si>
    <t>56BD0213665E5904C7684E375FF077B90D5A146951E3C263A65BE11438F88BB5A24341D51863B4</t>
  </si>
  <si>
    <t>주연료비의 39%</t>
  </si>
  <si>
    <t>56BD0213665E5904C7684E375FF077B90D5A146950B082A32352B3B46428C94F24D3001</t>
  </si>
  <si>
    <t>건설기계운전사</t>
  </si>
  <si>
    <t>51719253125C245445081F4DD68F0645890F03</t>
  </si>
  <si>
    <t>56BD0213665E5904C7684E375FF077B90D5A146951719253125C245445081F4DD68F0645890F03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</si>
  <si>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</si>
  <si>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</si>
  <si>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</si>
  <si>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</si>
  <si>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</si>
  <si>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</si>
  <si>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</si>
  <si>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</si>
  <si>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</si>
  <si>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</si>
  <si>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</si>
  <si>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합성목재기둥, 캡, 하이브리드가로대 운반비  8TON, 생산지 &gt;  목포항 &gt; 상선 &gt; 제주항 &gt;  현장  대    ( 산근 1 ) </t>
  </si>
  <si>
    <t xml:space="preserve"> 제주도 내 운반거리 L=363KM 카고트럭 25ton 대당     </t>
  </si>
  <si>
    <t>C!</t>
  </si>
  <si>
    <t>'제주도 내 운반거리 L=363KM 카고트럭 25ton 대당 '</t>
  </si>
  <si>
    <t xml:space="preserve"> 적용기준: 생산공장 &gt; 목포항 &gt; 제주항 &gt; 현장    </t>
  </si>
  <si>
    <t>'적용기준: 생산공장 &gt; 목포항 &gt; 제주항 &gt; 현장'</t>
  </si>
  <si>
    <t xml:space="preserve"> 목포항 상차도는 업체부담 적재 없음 </t>
  </si>
  <si>
    <t>'목포항 상차도는 업체부담 적재 없음'</t>
  </si>
  <si>
    <t xml:space="preserve"> </t>
  </si>
  <si>
    <t xml:space="preserve"> 차량속도=    20KM/V1     40KM/V2       20KM/V3     </t>
  </si>
  <si>
    <t>'차량속도=    20KM/V1     40KM/V2       20KM/V3 '</t>
  </si>
  <si>
    <t xml:space="preserve"> 제주항 ○----------0-------------0----------○13KM  </t>
  </si>
  <si>
    <t>'제주항 ○----------0-------------0----------○13KM '</t>
  </si>
  <si>
    <t xml:space="preserve"> 운반거리=목포항+제주항L1=2.0KM,시내L2=360.5KM,현장L3=0.5KM    </t>
  </si>
  <si>
    <t>'운반거리=목포항+제주항L1=2.0KM,시내L2=360.5KM,현장L3=0.5KM'</t>
  </si>
  <si>
    <t xml:space="preserve"> 1.카고트럭 8톤 HR  </t>
  </si>
  <si>
    <t>'1.카고트럭 8톤 HR '</t>
  </si>
  <si>
    <t xml:space="preserve"> L1  목포항 및 제주항 내  운반거리(KM)  =2.0   </t>
  </si>
  <si>
    <t xml:space="preserve"> L1 '목포항 및 제주항 내  운반거리(KM)' =2.0</t>
  </si>
  <si>
    <t>L1</t>
  </si>
  <si>
    <t xml:space="preserve"> L2  도로주행 운반거리(KM)  =360.5   </t>
  </si>
  <si>
    <t xml:space="preserve"> L2 '도로주행 운반거리(KM)' =360.5</t>
  </si>
  <si>
    <t>L2</t>
  </si>
  <si>
    <t xml:space="preserve"> L3  공사장내 운반거리(KM)  =0.5   </t>
  </si>
  <si>
    <t xml:space="preserve"> L3 '공사장내 운반거리(KM)' =0.5</t>
  </si>
  <si>
    <t>L3</t>
  </si>
  <si>
    <t xml:space="preserve"> V1  목포항 및 제주항 내 운반속도(KM/HR)  =20   </t>
  </si>
  <si>
    <t xml:space="preserve"> V1 '목포항 및 제주항 내 운반속도(KM/HR)' =20</t>
  </si>
  <si>
    <t>V1</t>
  </si>
  <si>
    <t xml:space="preserve"> V2  도로주행 운반속도(KM/HR)  =40   </t>
  </si>
  <si>
    <t xml:space="preserve"> V2 '도로주행 운반속도(KM/HR)' =40</t>
  </si>
  <si>
    <t>V2</t>
  </si>
  <si>
    <t xml:space="preserve"> V3  공사장내 운반속도(KM/HR)  =20   </t>
  </si>
  <si>
    <t xml:space="preserve"> V3 '공사장내 운반속도(KM/HR)' =20</t>
  </si>
  <si>
    <t>V3</t>
  </si>
  <si>
    <t xml:space="preserve"> T1  목포항대기시간및상선(MIN)  =60   </t>
  </si>
  <si>
    <t xml:space="preserve"> t1 '목포항대기시간및상선(MIN)' =60</t>
  </si>
  <si>
    <t>T1</t>
  </si>
  <si>
    <t xml:space="preserve"> T2  목포항&gt;제주항운행시간(MIN)  =270   </t>
  </si>
  <si>
    <t xml:space="preserve"> t2 '목포항&gt;제주항운행시간(MIN)' =270</t>
  </si>
  <si>
    <t>T2</t>
  </si>
  <si>
    <t xml:space="preserve"> T3  제주항대기시간및하선(MIN)  =30    </t>
  </si>
  <si>
    <t xml:space="preserve"> t3 '제주항대기시간및하선(MIN)' =30 </t>
  </si>
  <si>
    <t>T3</t>
  </si>
  <si>
    <t xml:space="preserve"> T4  제주도내 운반 편도시간(MIN)  =((L2/V2)+(L3/V3))*60= 542.25 </t>
  </si>
  <si>
    <t xml:space="preserve"> t4 '제주도내 운반 편도시간(MIN)' =((L2/V2)+(L3/V3))*60=? </t>
  </si>
  <si>
    <t>T4</t>
  </si>
  <si>
    <t xml:space="preserve"> T5  적하시간(MIN) =30   </t>
  </si>
  <si>
    <t xml:space="preserve"> t5 '적하시간(MIN)'=30</t>
  </si>
  <si>
    <t>T5</t>
  </si>
  <si>
    <t xml:space="preserve"> T6   세륜시간 (MIN)  =1.5   </t>
  </si>
  <si>
    <t xml:space="preserve"> t6  '세륜시간 (MIN)' =1.5</t>
  </si>
  <si>
    <t>T6</t>
  </si>
  <si>
    <t xml:space="preserve"> CM  1회시간(MIN)  =T1+T2+T3+T4+T5+T6= 933.75 </t>
  </si>
  <si>
    <t xml:space="preserve"> CM '1회시간(MIN)' =t1+t2+t3+t4+t5+t6=?</t>
  </si>
  <si>
    <t>CM</t>
  </si>
  <si>
    <t xml:space="preserve"> Q   분&gt;시간변환  =CM/60= 15.563 </t>
  </si>
  <si>
    <t xml:space="preserve"> Q  '분&gt;시간변환' =CM/60=?</t>
  </si>
  <si>
    <t>Q</t>
  </si>
  <si>
    <t xml:space="preserve"> Z   차량실시간  =(T1+T3+T4+T5+T6)/60= 11.0625 </t>
  </si>
  <si>
    <t xml:space="preserve"> Z  '차량실시간' =(t1+t3+t4+t5+t6)/60=? </t>
  </si>
  <si>
    <t>Z</t>
  </si>
  <si>
    <t xml:space="preserve">   </t>
  </si>
  <si>
    <t>'재료비:' ~00002702002000002.M~ * {Z} =?EQ+</t>
  </si>
  <si>
    <t>T11</t>
  </si>
  <si>
    <t>T21</t>
  </si>
  <si>
    <t>T31</t>
  </si>
  <si>
    <t>T41</t>
  </si>
  <si>
    <t>T51</t>
  </si>
  <si>
    <t>TT</t>
  </si>
  <si>
    <t>'노무비:' ~00002702002000002.L~ * {Q} =?EQ+</t>
  </si>
  <si>
    <t>'경  비:' ~00002702002000002.E~ * {Q} =?EQ+</t>
  </si>
  <si>
    <t xml:space="preserve">  소  계    </t>
  </si>
  <si>
    <t>&gt;'소  계'</t>
  </si>
  <si>
    <t xml:space="preserve"> 2. 운전자 선박 요금 </t>
  </si>
  <si>
    <t>'2. 운전자 선박 요금'</t>
  </si>
  <si>
    <t xml:space="preserve"> 퀸제누비아 씨월드고속훼리홈페이지 금액적용 </t>
  </si>
  <si>
    <t>'퀸제누비아 씨월드고속훼리홈페이지 금액적용'</t>
  </si>
  <si>
    <t>'경:' ~ZA25051200000612.E~* 1 =?EQ+</t>
  </si>
  <si>
    <t>T12</t>
  </si>
  <si>
    <t xml:space="preserve"> 3. 화물차 선박 요금 </t>
  </si>
  <si>
    <t>'3. 화물차 선박 요금'</t>
  </si>
  <si>
    <t>'경비:' ~ZA25051200000611.E~* 1 =?EQ+</t>
  </si>
  <si>
    <t>T13</t>
  </si>
  <si>
    <t xml:space="preserve">  총  계</t>
  </si>
  <si>
    <t>토목 9-3</t>
  </si>
  <si>
    <t xml:space="preserve">인력 소운반  L=100m  kg  토목 9-3  ( 산근 2 ) </t>
  </si>
  <si>
    <t xml:space="preserve"> 인력소운반지게(TON/HR)TON당 </t>
  </si>
  <si>
    <t>'인력소운반지게(TON/HR)TON당'</t>
  </si>
  <si>
    <t xml:space="preserve"> T1  1일 실작업시간(480분-30분))  =450   </t>
  </si>
  <si>
    <t xml:space="preserve"> T1 '1일 실작업시간(480분-30분))' =450</t>
  </si>
  <si>
    <t xml:space="preserve"> Q1  1회 적재량(KG)  =25   </t>
  </si>
  <si>
    <t xml:space="preserve"> q1 '1회 적재량(KG)' =25</t>
  </si>
  <si>
    <t>Q1</t>
  </si>
  <si>
    <t xml:space="preserve"> L   운반거리(M)  =100   </t>
  </si>
  <si>
    <t xml:space="preserve"> L  '운반거리(M)' =100</t>
  </si>
  <si>
    <t xml:space="preserve"> V   운반속도양호3,000(M/HR),보통2,500(M/HR)불량2,000(M/HR) =3000   </t>
  </si>
  <si>
    <t xml:space="preserve"> V  '운반속도양호3,000(M/HR),보통2,500(M/HR)불량2,000(M/HR)'=3000</t>
  </si>
  <si>
    <t>V</t>
  </si>
  <si>
    <t xml:space="preserve"> T2  적재적하시간(MIN) 토사류1.5분,석재류 2분  =2   </t>
  </si>
  <si>
    <t xml:space="preserve"> t2 '적재적하시간(MIN) 토사류1.5분,석재류 2분' =2</t>
  </si>
  <si>
    <t xml:space="preserve"> N   1일 운반횟수 =(V*T1)/((120*L)+(V*T2))= 75 </t>
  </si>
  <si>
    <t xml:space="preserve"> N  '1일 운반횟수'=(V*T1)/((120*L)+(V*T2))=?</t>
  </si>
  <si>
    <t>N</t>
  </si>
  <si>
    <t xml:space="preserve"> Q   시간당 작업(KG/HR)  =N*Q1= 1875 </t>
  </si>
  <si>
    <t xml:space="preserve"> Q  '시간당 작업(KG/HR)' =N*q1=?</t>
  </si>
  <si>
    <t xml:space="preserve"> '노무비:' ~L001010101000002.L~ / {Q} =?EQ+</t>
  </si>
  <si>
    <t>단 가 대 비 표</t>
  </si>
  <si>
    <t>조달청가격</t>
  </si>
  <si>
    <t>PAGE</t>
  </si>
  <si>
    <t>거래가격</t>
  </si>
  <si>
    <t>유통물가</t>
  </si>
  <si>
    <t>조사1/자료</t>
  </si>
  <si>
    <t>조사2/정보</t>
  </si>
  <si>
    <t>적용단가</t>
  </si>
  <si>
    <t>품목구분</t>
  </si>
  <si>
    <t>노임구분</t>
  </si>
  <si>
    <t>소수점처리</t>
  </si>
  <si>
    <t>0000270200600006</t>
  </si>
  <si>
    <t>25년</t>
  </si>
  <si>
    <t>건설기계시가</t>
  </si>
  <si>
    <t>GRANTO13T카고</t>
  </si>
  <si>
    <t>준용</t>
  </si>
  <si>
    <t>자재 1</t>
  </si>
  <si>
    <t>0000522000150000</t>
  </si>
  <si>
    <t>자재 2</t>
  </si>
  <si>
    <t>1111161120142610</t>
  </si>
  <si>
    <t>62</t>
  </si>
  <si>
    <t>자재 3</t>
  </si>
  <si>
    <t>1111170120142524</t>
  </si>
  <si>
    <t>55</t>
  </si>
  <si>
    <t>자재 4</t>
  </si>
  <si>
    <t>1112200120142458</t>
  </si>
  <si>
    <t>587</t>
  </si>
  <si>
    <t>자재 5</t>
  </si>
  <si>
    <t>1119160220292342</t>
  </si>
  <si>
    <t>1472</t>
  </si>
  <si>
    <t>1198</t>
  </si>
  <si>
    <t>자재 6</t>
  </si>
  <si>
    <t>1119160220292343</t>
  </si>
  <si>
    <t>자재 7</t>
  </si>
  <si>
    <t>1119160221867609</t>
  </si>
  <si>
    <t>자재 8</t>
  </si>
  <si>
    <t>3010220420287280</t>
  </si>
  <si>
    <t>14</t>
  </si>
  <si>
    <t>자재 9</t>
  </si>
  <si>
    <t>3010250420900010</t>
  </si>
  <si>
    <t>83</t>
  </si>
  <si>
    <t>자재 10</t>
  </si>
  <si>
    <t>3010369820141038</t>
  </si>
  <si>
    <t>98</t>
  </si>
  <si>
    <t>자재 11</t>
  </si>
  <si>
    <t>3011160120142681</t>
  </si>
  <si>
    <t>65</t>
  </si>
  <si>
    <t>58</t>
  </si>
  <si>
    <t>자재 12</t>
  </si>
  <si>
    <t>3116210220135743</t>
  </si>
  <si>
    <t>94</t>
  </si>
  <si>
    <t>53</t>
  </si>
  <si>
    <t>자재 13</t>
  </si>
  <si>
    <t>4014218623002246</t>
  </si>
  <si>
    <t>22</t>
  </si>
  <si>
    <t>자재 14</t>
  </si>
  <si>
    <t>4014218720110591</t>
  </si>
  <si>
    <t>자재 15</t>
  </si>
  <si>
    <t>E001010115010523</t>
  </si>
  <si>
    <t>청봉환경</t>
  </si>
  <si>
    <t>자재 16</t>
  </si>
  <si>
    <t>E001010115010525</t>
  </si>
  <si>
    <t>자재 17</t>
  </si>
  <si>
    <t>E001010115110601</t>
  </si>
  <si>
    <t>1586</t>
  </si>
  <si>
    <t>자재 18</t>
  </si>
  <si>
    <t>E001010115110603</t>
  </si>
  <si>
    <t>자재 19</t>
  </si>
  <si>
    <t>E001010115110621</t>
  </si>
  <si>
    <t>자재 20</t>
  </si>
  <si>
    <t>E001010115110651</t>
  </si>
  <si>
    <t>자재 21</t>
  </si>
  <si>
    <t>EDU0202433021000</t>
  </si>
  <si>
    <t>조사단가</t>
  </si>
  <si>
    <t>자재 22</t>
  </si>
  <si>
    <t>L001010101000002</t>
  </si>
  <si>
    <t>노임 1</t>
  </si>
  <si>
    <t>L001010101000003</t>
  </si>
  <si>
    <t>노임 2</t>
  </si>
  <si>
    <t>L001010101000007</t>
  </si>
  <si>
    <t>노임 3</t>
  </si>
  <si>
    <t>L001010101000009</t>
  </si>
  <si>
    <t>노임 4</t>
  </si>
  <si>
    <t>L001010101000012</t>
  </si>
  <si>
    <t>노임 5</t>
  </si>
  <si>
    <t>L001010101000013</t>
  </si>
  <si>
    <t>노임 6</t>
  </si>
  <si>
    <t>L001010101000015</t>
  </si>
  <si>
    <t>노임 7</t>
  </si>
  <si>
    <t>L001010101000023</t>
  </si>
  <si>
    <t>노임 8</t>
  </si>
  <si>
    <t>L001010101000030</t>
  </si>
  <si>
    <t>노임 9</t>
  </si>
  <si>
    <t>L001010101000048</t>
  </si>
  <si>
    <t>노임 10</t>
  </si>
  <si>
    <t>ZA25051200000611</t>
  </si>
  <si>
    <t>8톤 트럭 요금</t>
  </si>
  <si>
    <t>8톤 영차</t>
  </si>
  <si>
    <t>자재 23</t>
  </si>
  <si>
    <t>ZA25051200000612</t>
  </si>
  <si>
    <t>트럭운전자 요금</t>
  </si>
  <si>
    <t>이코노미</t>
  </si>
  <si>
    <t>자재 24</t>
  </si>
  <si>
    <t>ZA26012100000001</t>
  </si>
  <si>
    <t>77</t>
  </si>
  <si>
    <t>자재 25</t>
  </si>
  <si>
    <t>ZA26012100000014</t>
  </si>
  <si>
    <t>자재 26</t>
  </si>
  <si>
    <t>ZA26012100000015</t>
  </si>
  <si>
    <t>자재 27</t>
  </si>
  <si>
    <t>ZA26012100000016</t>
  </si>
  <si>
    <t>자재 28</t>
  </si>
  <si>
    <t>ZA26012100000017</t>
  </si>
  <si>
    <t>자재 29</t>
  </si>
  <si>
    <t>ZA26012100000018</t>
  </si>
  <si>
    <t>자재 30</t>
  </si>
  <si>
    <t>공 사 원 가 계 산 서</t>
  </si>
  <si>
    <t>공사명 : 1100고지 습지보호지역 노후탐방로 정비사업</t>
  </si>
  <si>
    <t>금액 : 이억팔천이백삼십사만원(￦282,340,000)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</si>
  <si>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</si>
  <si>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</si>
  <si>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</si>
  <si>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</si>
  <si>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</si>
  <si>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</si>
  <si>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</si>
  <si>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</si>
  <si>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</si>
  <si>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</si>
  <si>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</si>
  <si>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</si>
  <si>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</si>
  <si>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</si>
  <si>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</si>
  <si>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</si>
  <si>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</si>
  <si>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</si>
  <si>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</si>
  <si>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18.4%</t>
  </si>
  <si>
    <t>BS</t>
  </si>
  <si>
    <t>C1</t>
  </si>
  <si>
    <t>운      반      비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</si>
  <si>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</si>
  <si>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</si>
  <si>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</si>
  <si>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</si>
  <si>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</si>
  <si>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</si>
  <si>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</si>
  <si>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</si>
  <si>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</si>
  <si>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</si>
  <si>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</si>
  <si>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</si>
  <si>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</si>
  <si>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</si>
  <si>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</si>
  <si>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</si>
  <si>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</si>
  <si>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</si>
  <si>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</si>
  <si>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</si>
  <si>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</si>
  <si>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</si>
  <si>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</si>
  <si>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CF</t>
  </si>
  <si>
    <t>CG</t>
  </si>
  <si>
    <t>기   타    경   비</t>
  </si>
  <si>
    <t>(재료비+노무비) * 4.9%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</si>
  <si>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</si>
  <si>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</si>
  <si>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</si>
  <si>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</si>
  <si>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</si>
  <si>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0%</t>
  </si>
  <si>
    <t>전문공사제외</t>
  </si>
  <si>
    <t>CL</t>
  </si>
  <si>
    <t>건설기계대여금지급보증서발급수수료</t>
  </si>
  <si>
    <t>건설기계업체별400만원미만제외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</si>
  <si>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</si>
  <si>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</si>
  <si>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</si>
  <si>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</si>
  <si>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</si>
  <si>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</si>
  <si>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</si>
  <si>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</si>
  <si>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</si>
  <si>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D5</t>
  </si>
  <si>
    <t>철   거   고   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</si>
  <si>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</si>
  <si>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</si>
  <si>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</si>
  <si>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</si>
  <si>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</si>
  <si>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</si>
  <si>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</si>
  <si>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천원미만절사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</si>
  <si>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</si>
  <si>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</si>
  <si>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</si>
  <si>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</si>
  <si>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</si>
  <si>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</si>
  <si>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</si>
  <si>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</si>
  <si>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</si>
  <si>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</si>
  <si>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</si>
  <si>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</si>
  <si>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</si>
  <si>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</si>
  <si>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</si>
  <si>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</si>
  <si>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</si>
  <si>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</si>
  <si>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</si>
  <si>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</si>
  <si>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</si>
  <si>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</si>
  <si>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</si>
  <si>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</si>
  <si>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</si>
  <si>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</si>
  <si>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</si>
  <si>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</si>
  <si>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</si>
  <si>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</si>
  <si>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</si>
  <si>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 업  부  산  물</t>
  </si>
  <si>
    <t>공  통  가  설  비</t>
  </si>
  <si>
    <t>C3</t>
  </si>
  <si>
    <t>품  질  관  리  비</t>
  </si>
  <si>
    <t>CD</t>
  </si>
  <si>
    <t>안  전  관  리  비</t>
  </si>
  <si>
    <t>CE</t>
  </si>
  <si>
    <t>....</t>
  </si>
  <si>
    <t>D</t>
  </si>
  <si>
    <t>E</t>
  </si>
  <si>
    <t>미확정설계공정(P.S)</t>
  </si>
  <si>
    <t>D7</t>
  </si>
  <si>
    <t>G</t>
  </si>
  <si>
    <t>도급자관급자재</t>
  </si>
  <si>
    <t>DK</t>
  </si>
  <si>
    <t>H</t>
  </si>
  <si>
    <t>관급자관급자재</t>
  </si>
  <si>
    <t>DL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</si>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</sst>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176" fontId="4" fillId="0" borderId="5" xfId="0" quotePrefix="1" applyNumberFormat="1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5" xfId="0" quotePrefix="1" applyBorder="1" applyAlignment="1">
      <alignment vertical="center" wrapText="1"/>
    </xf>
    <xf numFmtId="0" fontId="3" fillId="0" borderId="7" xfId="0" applyFont="1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00455-F88D-4673-8C2A-57A55D4A6CFA}">
  <sheetPr>
    <pageSetUpPr fitToPage="1"/>
  </sheetPr>
  <dimension ref="A1:G33"/>
  <sheetViews>
    <sheetView tabSelected="1" topLeftCell="B1" workbookViewId="0">
      <selection activeCell="B1" sqref="B1:G1"/>
    </sheetView>
  </sheetViews>
  <sheetFormatPr defaultRowHeight="17" x14ac:dyDescent="0.45"/>
  <cols>
    <col min="1" max="1" width="0" hidden="1" customWidth="1"/>
    <col min="2" max="3" width="4.58203125" customWidth="1"/>
    <col min="4" max="4" width="35.58203125" customWidth="1"/>
    <col min="5" max="5" width="25.58203125" customWidth="1"/>
    <col min="6" max="6" width="60.58203125" customWidth="1"/>
    <col min="7" max="7" width="30.58203125" customWidth="1"/>
  </cols>
  <sheetData>
    <row r="1" spans="1:7" ht="24" customHeight="1" x14ac:dyDescent="0.45">
      <c r="B1" s="43" t="s">
        <v>652</v>
      </c>
      <c r="C1" s="43"/>
      <c r="D1" s="43"/>
      <c r="E1" s="43"/>
      <c r="F1" s="43"/>
      <c r="G1" s="43"/>
    </row>
    <row r="2" spans="1:7" ht="22" customHeight="1" x14ac:dyDescent="0.45">
      <c r="B2" s="44" t="s">
        <v>653</v>
      </c>
      <c r="C2" s="44"/>
      <c r="D2" s="44"/>
      <c r="E2" s="44"/>
      <c r="F2" s="45" t="s">
        <v>654</v>
      </c>
      <c r="G2" s="45"/>
    </row>
    <row r="3" spans="1:7" ht="22" customHeight="1" x14ac:dyDescent="0.45">
      <c r="B3" s="42" t="s">
        <v>655</v>
      </c>
      <c r="C3" s="42"/>
      <c r="D3" s="42"/>
      <c r="E3" s="41" t="s">
        <v>656</v>
      </c>
      <c r="F3" s="41" t="s">
        <v>657</v>
      </c>
      <c r="G3" s="41" t="s">
        <v>184</v>
      </c>
    </row>
    <row r="4" spans="1:7" ht="22" customHeight="1" x14ac:dyDescent="0.45">
      <c r="A4" s="1" t="s">
        <v>662</v>
      </c>
      <c r="B4" s="46" t="s">
        <v>658</v>
      </c>
      <c r="C4" s="46" t="s">
        <v>659</v>
      </c>
      <c r="D4" s="41" t="s">
        <v>663</v>
      </c>
      <c r="E4" s="12">
        <f>TRUNC(공종별집계표!F5, 0)</f>
        <v>155667130</v>
      </c>
      <c r="F4" s="10" t="s">
        <v>53</v>
      </c>
      <c r="G4" s="10" t="s">
        <v>53</v>
      </c>
    </row>
    <row r="5" spans="1:7" ht="22" customHeight="1" x14ac:dyDescent="0.45">
      <c r="A5" s="1" t="s">
        <v>664</v>
      </c>
      <c r="B5" s="46"/>
      <c r="C5" s="46"/>
      <c r="D5" s="41" t="s">
        <v>665</v>
      </c>
      <c r="E5" s="12">
        <v>0</v>
      </c>
      <c r="F5" s="10" t="s">
        <v>53</v>
      </c>
      <c r="G5" s="10" t="s">
        <v>53</v>
      </c>
    </row>
    <row r="6" spans="1:7" ht="22" customHeight="1" x14ac:dyDescent="0.45">
      <c r="A6" s="1" t="s">
        <v>666</v>
      </c>
      <c r="B6" s="46"/>
      <c r="C6" s="46"/>
      <c r="D6" s="41" t="s">
        <v>667</v>
      </c>
      <c r="E6" s="12">
        <v>0</v>
      </c>
      <c r="F6" s="10" t="s">
        <v>53</v>
      </c>
      <c r="G6" s="10" t="s">
        <v>53</v>
      </c>
    </row>
    <row r="7" spans="1:7" ht="22" customHeight="1" x14ac:dyDescent="0.45">
      <c r="A7" s="1" t="s">
        <v>668</v>
      </c>
      <c r="B7" s="46"/>
      <c r="C7" s="46"/>
      <c r="D7" s="41" t="s">
        <v>669</v>
      </c>
      <c r="E7" s="12">
        <f>TRUNC(E4+E5-E6, 0)</f>
        <v>155667130</v>
      </c>
      <c r="F7" s="10" t="s">
        <v>53</v>
      </c>
      <c r="G7" s="10" t="s">
        <v>53</v>
      </c>
    </row>
    <row r="8" spans="1:7" ht="22" customHeight="1" x14ac:dyDescent="0.45">
      <c r="A8" s="1" t="s">
        <v>670</v>
      </c>
      <c r="B8" s="46"/>
      <c r="C8" s="46" t="s">
        <v>660</v>
      </c>
      <c r="D8" s="41" t="s">
        <v>671</v>
      </c>
      <c r="E8" s="12">
        <f>TRUNC(공종별집계표!H5, 0)</f>
        <v>32261176</v>
      </c>
      <c r="F8" s="10" t="s">
        <v>53</v>
      </c>
      <c r="G8" s="10" t="s">
        <v>53</v>
      </c>
    </row>
    <row r="9" spans="1:7" ht="22" customHeight="1" x14ac:dyDescent="0.45">
      <c r="A9" s="1" t="s">
        <v>672</v>
      </c>
      <c r="B9" s="46"/>
      <c r="C9" s="46"/>
      <c r="D9" s="41" t="s">
        <v>673</v>
      </c>
      <c r="E9" s="12">
        <f>TRUNC(E8*0.184, 0)</f>
        <v>5936056</v>
      </c>
      <c r="F9" s="10" t="s">
        <v>674</v>
      </c>
      <c r="G9" s="10" t="s">
        <v>53</v>
      </c>
    </row>
    <row r="10" spans="1:7" ht="22" customHeight="1" x14ac:dyDescent="0.45">
      <c r="A10" s="1" t="s">
        <v>675</v>
      </c>
      <c r="B10" s="46"/>
      <c r="C10" s="46"/>
      <c r="D10" s="41" t="s">
        <v>669</v>
      </c>
      <c r="E10" s="12">
        <f>TRUNC(E8+E9, 0)</f>
        <v>38197232</v>
      </c>
      <c r="F10" s="10" t="s">
        <v>53</v>
      </c>
      <c r="G10" s="10" t="s">
        <v>53</v>
      </c>
    </row>
    <row r="11" spans="1:7" ht="22" customHeight="1" x14ac:dyDescent="0.45">
      <c r="A11" s="1" t="s">
        <v>676</v>
      </c>
      <c r="B11" s="46"/>
      <c r="C11" s="46" t="s">
        <v>661</v>
      </c>
      <c r="D11" s="41" t="s">
        <v>677</v>
      </c>
      <c r="E11" s="12">
        <f>TRUNC(공종별집계표!T10, 0)</f>
        <v>2116006</v>
      </c>
      <c r="F11" s="10" t="s">
        <v>53</v>
      </c>
      <c r="G11" s="10" t="s">
        <v>53</v>
      </c>
    </row>
    <row r="12" spans="1:7" ht="22" customHeight="1" x14ac:dyDescent="0.45">
      <c r="A12" s="1" t="s">
        <v>678</v>
      </c>
      <c r="B12" s="46"/>
      <c r="C12" s="46"/>
      <c r="D12" s="41" t="s">
        <v>679</v>
      </c>
      <c r="E12" s="12">
        <f>TRUNC(공종별집계표!J5, 0)</f>
        <v>4705933</v>
      </c>
      <c r="F12" s="10" t="s">
        <v>53</v>
      </c>
      <c r="G12" s="10" t="s">
        <v>53</v>
      </c>
    </row>
    <row r="13" spans="1:7" ht="22" customHeight="1" x14ac:dyDescent="0.45">
      <c r="A13" s="1" t="s">
        <v>680</v>
      </c>
      <c r="B13" s="46"/>
      <c r="C13" s="46"/>
      <c r="D13" s="41" t="s">
        <v>681</v>
      </c>
      <c r="E13" s="12">
        <f>TRUNC(E10*0.0356, 0)</f>
        <v>1359821</v>
      </c>
      <c r="F13" s="10" t="s">
        <v>682</v>
      </c>
      <c r="G13" s="10" t="s">
        <v>53</v>
      </c>
    </row>
    <row r="14" spans="1:7" ht="22" customHeight="1" x14ac:dyDescent="0.45">
      <c r="A14" s="1" t="s">
        <v>683</v>
      </c>
      <c r="B14" s="46"/>
      <c r="C14" s="46"/>
      <c r="D14" s="41" t="s">
        <v>684</v>
      </c>
      <c r="E14" s="12">
        <f>TRUNC(E10*0.0101, 0)</f>
        <v>385792</v>
      </c>
      <c r="F14" s="10" t="s">
        <v>685</v>
      </c>
      <c r="G14" s="10" t="s">
        <v>53</v>
      </c>
    </row>
    <row r="15" spans="1:7" ht="22" customHeight="1" x14ac:dyDescent="0.45">
      <c r="A15" s="1" t="s">
        <v>686</v>
      </c>
      <c r="B15" s="46"/>
      <c r="C15" s="46"/>
      <c r="D15" s="41" t="s">
        <v>687</v>
      </c>
      <c r="E15" s="12">
        <f>TRUNC(E8*0.03595, 0)</f>
        <v>1159789</v>
      </c>
      <c r="F15" s="10" t="s">
        <v>688</v>
      </c>
      <c r="G15" s="10" t="s">
        <v>53</v>
      </c>
    </row>
    <row r="16" spans="1:7" ht="22" customHeight="1" x14ac:dyDescent="0.45">
      <c r="A16" s="1" t="s">
        <v>689</v>
      </c>
      <c r="B16" s="46"/>
      <c r="C16" s="46"/>
      <c r="D16" s="41" t="s">
        <v>690</v>
      </c>
      <c r="E16" s="12">
        <f>TRUNC(E15*0.1314, 0)</f>
        <v>152396</v>
      </c>
      <c r="F16" s="10" t="s">
        <v>691</v>
      </c>
      <c r="G16" s="10" t="s">
        <v>53</v>
      </c>
    </row>
    <row r="17" spans="1:7" ht="22" customHeight="1" x14ac:dyDescent="0.45">
      <c r="A17" s="1" t="s">
        <v>692</v>
      </c>
      <c r="B17" s="46"/>
      <c r="C17" s="46"/>
      <c r="D17" s="41" t="s">
        <v>693</v>
      </c>
      <c r="E17" s="12">
        <f>TRUNC(E8*0.0475, 0)</f>
        <v>1532405</v>
      </c>
      <c r="F17" s="10" t="s">
        <v>694</v>
      </c>
      <c r="G17" s="10" t="s">
        <v>53</v>
      </c>
    </row>
    <row r="18" spans="1:7" ht="22" customHeight="1" x14ac:dyDescent="0.45">
      <c r="A18" s="1" t="s">
        <v>695</v>
      </c>
      <c r="B18" s="46"/>
      <c r="C18" s="46"/>
      <c r="D18" s="41" t="s">
        <v>696</v>
      </c>
      <c r="E18" s="12">
        <f>TRUNC(E8*0.023, 0)</f>
        <v>742007</v>
      </c>
      <c r="F18" s="10" t="s">
        <v>697</v>
      </c>
      <c r="G18" s="10" t="s">
        <v>53</v>
      </c>
    </row>
    <row r="19" spans="1:7" ht="22" customHeight="1" x14ac:dyDescent="0.45">
      <c r="A19" s="1" t="s">
        <v>698</v>
      </c>
      <c r="B19" s="46"/>
      <c r="C19" s="46"/>
      <c r="D19" s="41" t="s">
        <v>699</v>
      </c>
      <c r="E19" s="12">
        <f>TRUNC((E7+E8)*0.0311, 0)</f>
        <v>5844570</v>
      </c>
      <c r="F19" s="10" t="s">
        <v>700</v>
      </c>
      <c r="G19" s="10" t="s">
        <v>53</v>
      </c>
    </row>
    <row r="20" spans="1:7" ht="22" customHeight="1" x14ac:dyDescent="0.45">
      <c r="A20" s="1" t="s">
        <v>701</v>
      </c>
      <c r="B20" s="46"/>
      <c r="C20" s="46"/>
      <c r="D20" s="41" t="s">
        <v>151</v>
      </c>
      <c r="E20" s="12">
        <f>TRUNC(공종별집계표!T11, 0)</f>
        <v>6401399</v>
      </c>
      <c r="F20" s="10" t="s">
        <v>53</v>
      </c>
      <c r="G20" s="10" t="s">
        <v>53</v>
      </c>
    </row>
    <row r="21" spans="1:7" ht="22" customHeight="1" x14ac:dyDescent="0.45">
      <c r="A21" s="1" t="s">
        <v>702</v>
      </c>
      <c r="B21" s="46"/>
      <c r="C21" s="46"/>
      <c r="D21" s="41" t="s">
        <v>703</v>
      </c>
      <c r="E21" s="12">
        <f>TRUNC((E7+E10)*0.049, 0)</f>
        <v>9499353</v>
      </c>
      <c r="F21" s="10" t="s">
        <v>704</v>
      </c>
      <c r="G21" s="10" t="s">
        <v>53</v>
      </c>
    </row>
    <row r="22" spans="1:7" ht="22" customHeight="1" x14ac:dyDescent="0.45">
      <c r="A22" s="1" t="s">
        <v>705</v>
      </c>
      <c r="B22" s="46"/>
      <c r="C22" s="46"/>
      <c r="D22" s="41" t="s">
        <v>706</v>
      </c>
      <c r="E22" s="12">
        <f>TRUNC((E7+E8+E11+E12)*0.003, 0)</f>
        <v>584250</v>
      </c>
      <c r="F22" s="10" t="s">
        <v>707</v>
      </c>
      <c r="G22" s="10" t="s">
        <v>53</v>
      </c>
    </row>
    <row r="23" spans="1:7" ht="22" customHeight="1" x14ac:dyDescent="0.45">
      <c r="A23" s="1" t="s">
        <v>708</v>
      </c>
      <c r="B23" s="46"/>
      <c r="C23" s="46"/>
      <c r="D23" s="41" t="s">
        <v>709</v>
      </c>
      <c r="E23" s="12">
        <f>TRUNC((E7+E8+E11+E12)*0, 0)</f>
        <v>0</v>
      </c>
      <c r="F23" s="10" t="s">
        <v>710</v>
      </c>
      <c r="G23" s="10" t="s">
        <v>711</v>
      </c>
    </row>
    <row r="24" spans="1:7" ht="22" customHeight="1" x14ac:dyDescent="0.45">
      <c r="A24" s="1" t="s">
        <v>712</v>
      </c>
      <c r="B24" s="46"/>
      <c r="C24" s="46"/>
      <c r="D24" s="41" t="s">
        <v>713</v>
      </c>
      <c r="E24" s="12">
        <f>TRUNC((E7+E8+E11+E12)*0, 0)</f>
        <v>0</v>
      </c>
      <c r="F24" s="10" t="s">
        <v>710</v>
      </c>
      <c r="G24" s="10" t="s">
        <v>714</v>
      </c>
    </row>
    <row r="25" spans="1:7" ht="22" customHeight="1" x14ac:dyDescent="0.45">
      <c r="A25" s="1" t="s">
        <v>715</v>
      </c>
      <c r="B25" s="46"/>
      <c r="C25" s="46"/>
      <c r="D25" s="41" t="s">
        <v>669</v>
      </c>
      <c r="E25" s="12">
        <f>TRUNC(E11+E12+E13+E14+E15+E17+E18+E19+E16+E20+E21+E22+E23+E24, 0)</f>
        <v>34483721</v>
      </c>
      <c r="F25" s="10" t="s">
        <v>53</v>
      </c>
      <c r="G25" s="10" t="s">
        <v>53</v>
      </c>
    </row>
    <row r="26" spans="1:7" ht="22" customHeight="1" x14ac:dyDescent="0.45">
      <c r="A26" s="1" t="s">
        <v>716</v>
      </c>
      <c r="B26" s="42" t="s">
        <v>717</v>
      </c>
      <c r="C26" s="42"/>
      <c r="D26" s="42"/>
      <c r="E26" s="12">
        <f>TRUNC(E7+E10+E25, 0)</f>
        <v>228348083</v>
      </c>
      <c r="F26" s="10" t="s">
        <v>53</v>
      </c>
      <c r="G26" s="10" t="s">
        <v>53</v>
      </c>
    </row>
    <row r="27" spans="1:7" ht="22" customHeight="1" x14ac:dyDescent="0.45">
      <c r="A27" s="1" t="s">
        <v>718</v>
      </c>
      <c r="B27" s="42" t="s">
        <v>719</v>
      </c>
      <c r="C27" s="42"/>
      <c r="D27" s="42"/>
      <c r="E27" s="12">
        <f>TRUNC(E26*0.08, 0)</f>
        <v>18267846</v>
      </c>
      <c r="F27" s="10" t="s">
        <v>720</v>
      </c>
      <c r="G27" s="10" t="s">
        <v>53</v>
      </c>
    </row>
    <row r="28" spans="1:7" ht="22" customHeight="1" x14ac:dyDescent="0.45">
      <c r="A28" s="1" t="s">
        <v>721</v>
      </c>
      <c r="B28" s="42" t="s">
        <v>722</v>
      </c>
      <c r="C28" s="42"/>
      <c r="D28" s="42"/>
      <c r="E28" s="12">
        <f>TRUNC((E10+E25+E27)*0.15, 0)</f>
        <v>13642319</v>
      </c>
      <c r="F28" s="10" t="s">
        <v>723</v>
      </c>
      <c r="G28" s="10" t="s">
        <v>53</v>
      </c>
    </row>
    <row r="29" spans="1:7" ht="22" customHeight="1" x14ac:dyDescent="0.45">
      <c r="A29" s="1" t="s">
        <v>724</v>
      </c>
      <c r="B29" s="42" t="s">
        <v>725</v>
      </c>
      <c r="C29" s="42"/>
      <c r="D29" s="42"/>
      <c r="E29" s="12">
        <f>TRUNC(공종별집계표!T12, 0)</f>
        <v>-3584759</v>
      </c>
      <c r="F29" s="10" t="s">
        <v>53</v>
      </c>
      <c r="G29" s="10" t="s">
        <v>53</v>
      </c>
    </row>
    <row r="30" spans="1:7" ht="22" customHeight="1" x14ac:dyDescent="0.45">
      <c r="A30" s="1" t="s">
        <v>726</v>
      </c>
      <c r="B30" s="42" t="s">
        <v>727</v>
      </c>
      <c r="C30" s="42"/>
      <c r="D30" s="42"/>
      <c r="E30" s="12">
        <f>TRUNC(E26+E27+E28+E29, 0)</f>
        <v>256673489</v>
      </c>
      <c r="F30" s="10" t="s">
        <v>53</v>
      </c>
      <c r="G30" s="10" t="s">
        <v>53</v>
      </c>
    </row>
    <row r="31" spans="1:7" ht="22" customHeight="1" x14ac:dyDescent="0.45">
      <c r="A31" s="1" t="s">
        <v>728</v>
      </c>
      <c r="B31" s="42" t="s">
        <v>729</v>
      </c>
      <c r="C31" s="42"/>
      <c r="D31" s="42"/>
      <c r="E31" s="12">
        <f>TRUNC(E30*0.1, 0)</f>
        <v>25667348</v>
      </c>
      <c r="F31" s="10" t="s">
        <v>730</v>
      </c>
      <c r="G31" s="10" t="s">
        <v>53</v>
      </c>
    </row>
    <row r="32" spans="1:7" ht="22" customHeight="1" x14ac:dyDescent="0.45">
      <c r="A32" s="1" t="s">
        <v>731</v>
      </c>
      <c r="B32" s="42" t="s">
        <v>732</v>
      </c>
      <c r="C32" s="42"/>
      <c r="D32" s="42"/>
      <c r="E32" s="12">
        <f>TRUNC(E30+E31, -3)</f>
        <v>282340000</v>
      </c>
      <c r="F32" s="10" t="s">
        <v>733</v>
      </c>
      <c r="G32" s="10" t="s">
        <v>53</v>
      </c>
    </row>
    <row r="33" spans="1:7" ht="22" customHeight="1" x14ac:dyDescent="0.45">
      <c r="A33" s="1" t="s">
        <v>734</v>
      </c>
      <c r="B33" s="42" t="s">
        <v>735</v>
      </c>
      <c r="C33" s="42"/>
      <c r="D33" s="42"/>
      <c r="E33" s="12">
        <f>TRUNC(E32+0, 0)</f>
        <v>282340000</v>
      </c>
      <c r="F33" s="10" t="s">
        <v>53</v>
      </c>
      <c r="G33" s="10" t="s">
        <v>53</v>
      </c>
    </row>
  </sheetData>
  <mergeCells count="16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33:D33"/>
    <mergeCell ref="B26:D26"/>
    <mergeCell ref="B27:D27"/>
    <mergeCell ref="B28:D28"/>
    <mergeCell ref="B29:D29"/>
    <mergeCell ref="B30:D30"/>
    <mergeCell ref="B31:D31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6A052-221D-45D4-8213-1A0399AC2EC9}">
  <sheetPr>
    <pageSetUpPr fitToPage="1"/>
  </sheetPr>
  <dimension ref="A1:T27"/>
  <sheetViews>
    <sheetView workbookViewId="0"/>
  </sheetViews>
  <sheetFormatPr defaultRowHeight="17" x14ac:dyDescent="0.45"/>
  <cols>
    <col min="1" max="1" width="40.58203125" customWidth="1"/>
    <col min="2" max="2" width="20.58203125" customWidth="1"/>
    <col min="3" max="4" width="4.58203125" customWidth="1"/>
    <col min="5" max="12" width="13.58203125" customWidth="1"/>
    <col min="13" max="13" width="12.58203125" customWidth="1"/>
    <col min="14" max="16" width="2.58203125" hidden="1" customWidth="1"/>
    <col min="17" max="19" width="1.58203125" hidden="1" customWidth="1"/>
    <col min="20" max="20" width="18.58203125" hidden="1" customWidth="1"/>
  </cols>
  <sheetData>
    <row r="1" spans="1:20" ht="30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4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45">
      <c r="A3" s="47" t="s">
        <v>2</v>
      </c>
      <c r="B3" s="47" t="s">
        <v>3</v>
      </c>
      <c r="C3" s="47" t="s">
        <v>4</v>
      </c>
      <c r="D3" s="47" t="s">
        <v>5</v>
      </c>
      <c r="E3" s="47" t="s">
        <v>6</v>
      </c>
      <c r="F3" s="47"/>
      <c r="G3" s="47" t="s">
        <v>9</v>
      </c>
      <c r="H3" s="47"/>
      <c r="I3" s="47" t="s">
        <v>10</v>
      </c>
      <c r="J3" s="47"/>
      <c r="K3" s="47" t="s">
        <v>11</v>
      </c>
      <c r="L3" s="47"/>
      <c r="M3" s="47" t="s">
        <v>12</v>
      </c>
      <c r="N3" s="44" t="s">
        <v>13</v>
      </c>
      <c r="O3" s="44" t="s">
        <v>14</v>
      </c>
      <c r="P3" s="44" t="s">
        <v>15</v>
      </c>
      <c r="Q3" s="44" t="s">
        <v>16</v>
      </c>
      <c r="R3" s="44" t="s">
        <v>17</v>
      </c>
      <c r="S3" s="44" t="s">
        <v>18</v>
      </c>
      <c r="T3" s="44" t="s">
        <v>19</v>
      </c>
    </row>
    <row r="4" spans="1:20" ht="30" customHeight="1" x14ac:dyDescent="0.45">
      <c r="A4" s="48"/>
      <c r="B4" s="48"/>
      <c r="C4" s="48"/>
      <c r="D4" s="48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8"/>
      <c r="N4" s="44"/>
      <c r="O4" s="44"/>
      <c r="P4" s="44"/>
      <c r="Q4" s="44"/>
      <c r="R4" s="44"/>
      <c r="S4" s="44"/>
      <c r="T4" s="44"/>
    </row>
    <row r="5" spans="1:20" ht="30" customHeight="1" x14ac:dyDescent="0.45">
      <c r="A5" s="10" t="s">
        <v>52</v>
      </c>
      <c r="B5" s="10" t="s">
        <v>53</v>
      </c>
      <c r="C5" s="10" t="s">
        <v>53</v>
      </c>
      <c r="D5" s="11">
        <v>1</v>
      </c>
      <c r="E5" s="12">
        <f>F6</f>
        <v>155667130</v>
      </c>
      <c r="F5" s="12">
        <f t="shared" ref="F5:F12" si="0">E5*D5</f>
        <v>155667130</v>
      </c>
      <c r="G5" s="12">
        <f>H6</f>
        <v>32261176</v>
      </c>
      <c r="H5" s="12">
        <f t="shared" ref="H5:H12" si="1">G5*D5</f>
        <v>32261176</v>
      </c>
      <c r="I5" s="12">
        <f>J6</f>
        <v>4705933</v>
      </c>
      <c r="J5" s="12">
        <f t="shared" ref="J5:J12" si="2">I5*D5</f>
        <v>4705933</v>
      </c>
      <c r="K5" s="12">
        <f t="shared" ref="K5:L12" si="3">E5+G5+I5</f>
        <v>192634239</v>
      </c>
      <c r="L5" s="12">
        <f t="shared" si="3"/>
        <v>192634239</v>
      </c>
      <c r="M5" s="10" t="s">
        <v>53</v>
      </c>
      <c r="N5" s="1" t="s">
        <v>54</v>
      </c>
      <c r="O5" s="1" t="s">
        <v>53</v>
      </c>
      <c r="P5" s="1" t="s">
        <v>53</v>
      </c>
      <c r="Q5" s="1" t="s">
        <v>53</v>
      </c>
      <c r="R5">
        <v>1</v>
      </c>
      <c r="S5" s="1" t="s">
        <v>53</v>
      </c>
      <c r="T5" s="8"/>
    </row>
    <row r="6" spans="1:20" ht="30" customHeight="1" x14ac:dyDescent="0.45">
      <c r="A6" s="10" t="s">
        <v>55</v>
      </c>
      <c r="B6" s="10" t="s">
        <v>53</v>
      </c>
      <c r="C6" s="10" t="s">
        <v>53</v>
      </c>
      <c r="D6" s="11">
        <v>1</v>
      </c>
      <c r="E6" s="12">
        <f>F7+F8+F9</f>
        <v>155667130</v>
      </c>
      <c r="F6" s="12">
        <f t="shared" si="0"/>
        <v>155667130</v>
      </c>
      <c r="G6" s="12">
        <f>H7+H8+H9</f>
        <v>32261176</v>
      </c>
      <c r="H6" s="12">
        <f t="shared" si="1"/>
        <v>32261176</v>
      </c>
      <c r="I6" s="12">
        <f>J7+J8+J9</f>
        <v>4705933</v>
      </c>
      <c r="J6" s="12">
        <f t="shared" si="2"/>
        <v>4705933</v>
      </c>
      <c r="K6" s="12">
        <f t="shared" si="3"/>
        <v>192634239</v>
      </c>
      <c r="L6" s="12">
        <f t="shared" si="3"/>
        <v>192634239</v>
      </c>
      <c r="M6" s="10" t="s">
        <v>53</v>
      </c>
      <c r="N6" s="1" t="s">
        <v>56</v>
      </c>
      <c r="O6" s="1" t="s">
        <v>53</v>
      </c>
      <c r="P6" s="1" t="s">
        <v>54</v>
      </c>
      <c r="Q6" s="1" t="s">
        <v>53</v>
      </c>
      <c r="R6">
        <v>2</v>
      </c>
      <c r="S6" s="1" t="s">
        <v>53</v>
      </c>
      <c r="T6" s="8"/>
    </row>
    <row r="7" spans="1:20" ht="30" customHeight="1" x14ac:dyDescent="0.45">
      <c r="A7" s="10" t="s">
        <v>57</v>
      </c>
      <c r="B7" s="10" t="s">
        <v>53</v>
      </c>
      <c r="C7" s="10" t="s">
        <v>53</v>
      </c>
      <c r="D7" s="11">
        <v>1</v>
      </c>
      <c r="E7" s="12">
        <f>공종별내역서!F27</f>
        <v>615</v>
      </c>
      <c r="F7" s="12">
        <f t="shared" si="0"/>
        <v>615</v>
      </c>
      <c r="G7" s="12">
        <f>공종별내역서!H27</f>
        <v>790506</v>
      </c>
      <c r="H7" s="12">
        <f t="shared" si="1"/>
        <v>790506</v>
      </c>
      <c r="I7" s="12">
        <f>공종별내역서!J27</f>
        <v>15120</v>
      </c>
      <c r="J7" s="12">
        <f t="shared" si="2"/>
        <v>15120</v>
      </c>
      <c r="K7" s="12">
        <f t="shared" si="3"/>
        <v>806241</v>
      </c>
      <c r="L7" s="12">
        <f t="shared" si="3"/>
        <v>806241</v>
      </c>
      <c r="M7" s="10" t="s">
        <v>53</v>
      </c>
      <c r="N7" s="1" t="s">
        <v>58</v>
      </c>
      <c r="O7" s="1" t="s">
        <v>53</v>
      </c>
      <c r="P7" s="1" t="s">
        <v>56</v>
      </c>
      <c r="Q7" s="1" t="s">
        <v>53</v>
      </c>
      <c r="R7">
        <v>3</v>
      </c>
      <c r="S7" s="1" t="s">
        <v>53</v>
      </c>
      <c r="T7" s="8"/>
    </row>
    <row r="8" spans="1:20" ht="30" customHeight="1" x14ac:dyDescent="0.45">
      <c r="A8" s="10" t="s">
        <v>75</v>
      </c>
      <c r="B8" s="10" t="s">
        <v>53</v>
      </c>
      <c r="C8" s="10" t="s">
        <v>53</v>
      </c>
      <c r="D8" s="11">
        <v>1</v>
      </c>
      <c r="E8" s="12">
        <f>공종별내역서!F50</f>
        <v>155666515</v>
      </c>
      <c r="F8" s="12">
        <f t="shared" si="0"/>
        <v>155666515</v>
      </c>
      <c r="G8" s="12">
        <f>공종별내역서!H50</f>
        <v>31470670</v>
      </c>
      <c r="H8" s="12">
        <f t="shared" si="1"/>
        <v>31470670</v>
      </c>
      <c r="I8" s="12">
        <f>공종별내역서!J50</f>
        <v>4613674</v>
      </c>
      <c r="J8" s="12">
        <f t="shared" si="2"/>
        <v>4613674</v>
      </c>
      <c r="K8" s="12">
        <f t="shared" si="3"/>
        <v>191750859</v>
      </c>
      <c r="L8" s="12">
        <f t="shared" si="3"/>
        <v>191750859</v>
      </c>
      <c r="M8" s="10" t="s">
        <v>53</v>
      </c>
      <c r="N8" s="1" t="s">
        <v>76</v>
      </c>
      <c r="O8" s="1" t="s">
        <v>53</v>
      </c>
      <c r="P8" s="1" t="s">
        <v>56</v>
      </c>
      <c r="Q8" s="1" t="s">
        <v>53</v>
      </c>
      <c r="R8">
        <v>3</v>
      </c>
      <c r="S8" s="1" t="s">
        <v>53</v>
      </c>
      <c r="T8" s="8"/>
    </row>
    <row r="9" spans="1:20" ht="30" customHeight="1" x14ac:dyDescent="0.45">
      <c r="A9" s="10" t="s">
        <v>131</v>
      </c>
      <c r="B9" s="10" t="s">
        <v>53</v>
      </c>
      <c r="C9" s="10" t="s">
        <v>53</v>
      </c>
      <c r="D9" s="11">
        <v>1</v>
      </c>
      <c r="E9" s="12">
        <f>공종별내역서!F73</f>
        <v>0</v>
      </c>
      <c r="F9" s="12">
        <f t="shared" si="0"/>
        <v>0</v>
      </c>
      <c r="G9" s="12">
        <f>공종별내역서!H73</f>
        <v>0</v>
      </c>
      <c r="H9" s="12">
        <f t="shared" si="1"/>
        <v>0</v>
      </c>
      <c r="I9" s="12">
        <f>공종별내역서!J73</f>
        <v>77139</v>
      </c>
      <c r="J9" s="12">
        <f t="shared" si="2"/>
        <v>77139</v>
      </c>
      <c r="K9" s="12">
        <f t="shared" si="3"/>
        <v>77139</v>
      </c>
      <c r="L9" s="12">
        <f t="shared" si="3"/>
        <v>77139</v>
      </c>
      <c r="M9" s="10" t="s">
        <v>53</v>
      </c>
      <c r="N9" s="1" t="s">
        <v>132</v>
      </c>
      <c r="O9" s="1" t="s">
        <v>53</v>
      </c>
      <c r="P9" s="1" t="s">
        <v>56</v>
      </c>
      <c r="Q9" s="1" t="s">
        <v>53</v>
      </c>
      <c r="R9">
        <v>3</v>
      </c>
      <c r="S9" s="1" t="s">
        <v>53</v>
      </c>
      <c r="T9" s="8"/>
    </row>
    <row r="10" spans="1:20" ht="30" customHeight="1" x14ac:dyDescent="0.45">
      <c r="A10" s="10" t="s">
        <v>139</v>
      </c>
      <c r="B10" s="10" t="s">
        <v>53</v>
      </c>
      <c r="C10" s="10" t="s">
        <v>53</v>
      </c>
      <c r="D10" s="11">
        <v>1</v>
      </c>
      <c r="E10" s="12">
        <f>공종별내역서!F96</f>
        <v>0</v>
      </c>
      <c r="F10" s="12">
        <f t="shared" si="0"/>
        <v>0</v>
      </c>
      <c r="G10" s="12">
        <f>공종별내역서!H96</f>
        <v>0</v>
      </c>
      <c r="H10" s="12">
        <f t="shared" si="1"/>
        <v>0</v>
      </c>
      <c r="I10" s="12">
        <f>공종별내역서!J96</f>
        <v>2116006</v>
      </c>
      <c r="J10" s="12">
        <f t="shared" si="2"/>
        <v>2116006</v>
      </c>
      <c r="K10" s="12">
        <f t="shared" si="3"/>
        <v>2116006</v>
      </c>
      <c r="L10" s="12">
        <f t="shared" si="3"/>
        <v>2116006</v>
      </c>
      <c r="M10" s="10" t="s">
        <v>53</v>
      </c>
      <c r="N10" s="1" t="s">
        <v>140</v>
      </c>
      <c r="O10" s="1" t="s">
        <v>53</v>
      </c>
      <c r="P10" s="1" t="s">
        <v>53</v>
      </c>
      <c r="Q10" s="1" t="s">
        <v>141</v>
      </c>
      <c r="R10">
        <v>2</v>
      </c>
      <c r="S10" s="1" t="s">
        <v>53</v>
      </c>
      <c r="T10" s="8">
        <f>L10*1</f>
        <v>2116006</v>
      </c>
    </row>
    <row r="11" spans="1:20" ht="30" customHeight="1" x14ac:dyDescent="0.45">
      <c r="A11" s="10" t="s">
        <v>148</v>
      </c>
      <c r="B11" s="10" t="s">
        <v>53</v>
      </c>
      <c r="C11" s="10" t="s">
        <v>53</v>
      </c>
      <c r="D11" s="11">
        <v>1</v>
      </c>
      <c r="E11" s="12">
        <f>공종별내역서!F119</f>
        <v>0</v>
      </c>
      <c r="F11" s="12">
        <f t="shared" si="0"/>
        <v>0</v>
      </c>
      <c r="G11" s="12">
        <f>공종별내역서!H119</f>
        <v>0</v>
      </c>
      <c r="H11" s="12">
        <f t="shared" si="1"/>
        <v>0</v>
      </c>
      <c r="I11" s="12">
        <f>공종별내역서!J119</f>
        <v>6401399</v>
      </c>
      <c r="J11" s="12">
        <f t="shared" si="2"/>
        <v>6401399</v>
      </c>
      <c r="K11" s="12">
        <f t="shared" si="3"/>
        <v>6401399</v>
      </c>
      <c r="L11" s="12">
        <f t="shared" si="3"/>
        <v>6401399</v>
      </c>
      <c r="M11" s="10" t="s">
        <v>53</v>
      </c>
      <c r="N11" s="1" t="s">
        <v>149</v>
      </c>
      <c r="O11" s="1" t="s">
        <v>53</v>
      </c>
      <c r="P11" s="1" t="s">
        <v>53</v>
      </c>
      <c r="Q11" s="1" t="s">
        <v>150</v>
      </c>
      <c r="R11">
        <v>2</v>
      </c>
      <c r="S11" s="1" t="s">
        <v>53</v>
      </c>
      <c r="T11" s="8">
        <f>L11*1</f>
        <v>6401399</v>
      </c>
    </row>
    <row r="12" spans="1:20" ht="30" customHeight="1" x14ac:dyDescent="0.45">
      <c r="A12" s="10" t="s">
        <v>166</v>
      </c>
      <c r="B12" s="10" t="s">
        <v>53</v>
      </c>
      <c r="C12" s="10" t="s">
        <v>53</v>
      </c>
      <c r="D12" s="11">
        <v>1</v>
      </c>
      <c r="E12" s="12">
        <f>공종별내역서!F142</f>
        <v>-3584759</v>
      </c>
      <c r="F12" s="12">
        <f t="shared" si="0"/>
        <v>-3584759</v>
      </c>
      <c r="G12" s="12">
        <f>공종별내역서!H142</f>
        <v>0</v>
      </c>
      <c r="H12" s="12">
        <f t="shared" si="1"/>
        <v>0</v>
      </c>
      <c r="I12" s="12">
        <f>공종별내역서!J142</f>
        <v>0</v>
      </c>
      <c r="J12" s="12">
        <f t="shared" si="2"/>
        <v>0</v>
      </c>
      <c r="K12" s="12">
        <f t="shared" si="3"/>
        <v>-3584759</v>
      </c>
      <c r="L12" s="12">
        <f t="shared" si="3"/>
        <v>-3584759</v>
      </c>
      <c r="M12" s="10" t="s">
        <v>53</v>
      </c>
      <c r="N12" s="1" t="s">
        <v>167</v>
      </c>
      <c r="O12" s="1" t="s">
        <v>53</v>
      </c>
      <c r="P12" s="1" t="s">
        <v>53</v>
      </c>
      <c r="Q12" s="1" t="s">
        <v>168</v>
      </c>
      <c r="R12">
        <v>2</v>
      </c>
      <c r="S12" s="1" t="s">
        <v>53</v>
      </c>
      <c r="T12" s="8">
        <f>L12*1</f>
        <v>-3584759</v>
      </c>
    </row>
    <row r="13" spans="1:20" ht="30" customHeight="1" x14ac:dyDescent="0.4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4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4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4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4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4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4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4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4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4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4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4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4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4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45">
      <c r="A27" s="10" t="s">
        <v>73</v>
      </c>
      <c r="B27" s="11"/>
      <c r="C27" s="11"/>
      <c r="D27" s="11"/>
      <c r="E27" s="11"/>
      <c r="F27" s="12">
        <f>F5</f>
        <v>155667130</v>
      </c>
      <c r="G27" s="11"/>
      <c r="H27" s="12">
        <f>H5</f>
        <v>32261176</v>
      </c>
      <c r="I27" s="11"/>
      <c r="J27" s="12">
        <f>J5</f>
        <v>4705933</v>
      </c>
      <c r="K27" s="11"/>
      <c r="L27" s="12">
        <f>L5</f>
        <v>192634239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5DA43-9159-4ABE-9BD7-779D548C3234}">
  <sheetPr>
    <pageSetUpPr fitToPage="1"/>
  </sheetPr>
  <dimension ref="A1:AV142"/>
  <sheetViews>
    <sheetView workbookViewId="0"/>
  </sheetViews>
  <sheetFormatPr defaultRowHeight="17" x14ac:dyDescent="0.45"/>
  <cols>
    <col min="1" max="2" width="30.58203125" customWidth="1"/>
    <col min="3" max="3" width="4.58203125" customWidth="1"/>
    <col min="4" max="4" width="8.58203125" customWidth="1"/>
    <col min="5" max="12" width="13.58203125" customWidth="1"/>
    <col min="13" max="13" width="12.58203125" customWidth="1"/>
    <col min="14" max="43" width="2.58203125" hidden="1" customWidth="1"/>
    <col min="44" max="44" width="10.58203125" hidden="1" customWidth="1"/>
    <col min="45" max="46" width="1.58203125" hidden="1" customWidth="1"/>
    <col min="47" max="47" width="24.58203125" hidden="1" customWidth="1"/>
    <col min="48" max="48" width="10.58203125" hidden="1" customWidth="1"/>
  </cols>
  <sheetData>
    <row r="1" spans="1:48" ht="30" customHeight="1" x14ac:dyDescent="0.45">
      <c r="A1" s="2" t="s">
        <v>20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48" ht="30" customHeight="1" x14ac:dyDescent="0.4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48" ht="30" customHeight="1" x14ac:dyDescent="0.45">
      <c r="A3" s="47" t="s">
        <v>2</v>
      </c>
      <c r="B3" s="47" t="s">
        <v>3</v>
      </c>
      <c r="C3" s="47" t="s">
        <v>4</v>
      </c>
      <c r="D3" s="47" t="s">
        <v>5</v>
      </c>
      <c r="E3" s="47" t="s">
        <v>6</v>
      </c>
      <c r="F3" s="47"/>
      <c r="G3" s="47" t="s">
        <v>9</v>
      </c>
      <c r="H3" s="47"/>
      <c r="I3" s="47" t="s">
        <v>10</v>
      </c>
      <c r="J3" s="47"/>
      <c r="K3" s="47" t="s">
        <v>11</v>
      </c>
      <c r="L3" s="47"/>
      <c r="M3" s="47" t="s">
        <v>12</v>
      </c>
      <c r="N3" s="44" t="s">
        <v>21</v>
      </c>
      <c r="O3" s="44" t="s">
        <v>14</v>
      </c>
      <c r="P3" s="44" t="s">
        <v>22</v>
      </c>
      <c r="Q3" s="44" t="s">
        <v>13</v>
      </c>
      <c r="R3" s="44" t="s">
        <v>23</v>
      </c>
      <c r="S3" s="44" t="s">
        <v>24</v>
      </c>
      <c r="T3" s="44" t="s">
        <v>25</v>
      </c>
      <c r="U3" s="44" t="s">
        <v>26</v>
      </c>
      <c r="V3" s="44" t="s">
        <v>27</v>
      </c>
      <c r="W3" s="44" t="s">
        <v>28</v>
      </c>
      <c r="X3" s="44" t="s">
        <v>29</v>
      </c>
      <c r="Y3" s="44" t="s">
        <v>30</v>
      </c>
      <c r="Z3" s="44" t="s">
        <v>31</v>
      </c>
      <c r="AA3" s="44" t="s">
        <v>32</v>
      </c>
      <c r="AB3" s="44" t="s">
        <v>33</v>
      </c>
      <c r="AC3" s="44" t="s">
        <v>34</v>
      </c>
      <c r="AD3" s="44" t="s">
        <v>35</v>
      </c>
      <c r="AE3" s="44" t="s">
        <v>36</v>
      </c>
      <c r="AF3" s="44" t="s">
        <v>37</v>
      </c>
      <c r="AG3" s="44" t="s">
        <v>38</v>
      </c>
      <c r="AH3" s="44" t="s">
        <v>39</v>
      </c>
      <c r="AI3" s="44" t="s">
        <v>40</v>
      </c>
      <c r="AJ3" s="44" t="s">
        <v>41</v>
      </c>
      <c r="AK3" s="44" t="s">
        <v>42</v>
      </c>
      <c r="AL3" s="44" t="s">
        <v>43</v>
      </c>
      <c r="AM3" s="44" t="s">
        <v>44</v>
      </c>
      <c r="AN3" s="44" t="s">
        <v>45</v>
      </c>
      <c r="AO3" s="44" t="s">
        <v>46</v>
      </c>
      <c r="AP3" s="44" t="s">
        <v>47</v>
      </c>
      <c r="AQ3" s="44" t="s">
        <v>48</v>
      </c>
      <c r="AR3" s="44" t="s">
        <v>49</v>
      </c>
      <c r="AS3" s="44" t="s">
        <v>16</v>
      </c>
      <c r="AT3" s="44" t="s">
        <v>17</v>
      </c>
      <c r="AU3" s="44" t="s">
        <v>50</v>
      </c>
      <c r="AV3" s="44" t="s">
        <v>51</v>
      </c>
    </row>
    <row r="4" spans="1:48" ht="30" customHeight="1" x14ac:dyDescent="0.45">
      <c r="A4" s="48"/>
      <c r="B4" s="48"/>
      <c r="C4" s="48"/>
      <c r="D4" s="48"/>
      <c r="E4" s="13" t="s">
        <v>7</v>
      </c>
      <c r="F4" s="13" t="s">
        <v>8</v>
      </c>
      <c r="G4" s="13" t="s">
        <v>7</v>
      </c>
      <c r="H4" s="13" t="s">
        <v>8</v>
      </c>
      <c r="I4" s="13" t="s">
        <v>7</v>
      </c>
      <c r="J4" s="13" t="s">
        <v>8</v>
      </c>
      <c r="K4" s="13" t="s">
        <v>7</v>
      </c>
      <c r="L4" s="13" t="s">
        <v>8</v>
      </c>
      <c r="M4" s="48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</row>
    <row r="5" spans="1:48" ht="30" customHeight="1" x14ac:dyDescent="0.45">
      <c r="A5" s="10" t="s">
        <v>57</v>
      </c>
      <c r="B5" s="10" t="s">
        <v>59</v>
      </c>
      <c r="C5" s="11"/>
      <c r="D5" s="11"/>
      <c r="E5" s="12"/>
      <c r="F5" s="12"/>
      <c r="G5" s="12"/>
      <c r="H5" s="12"/>
      <c r="I5" s="12"/>
      <c r="J5" s="12"/>
      <c r="K5" s="12"/>
      <c r="L5" s="12"/>
      <c r="M5" s="11"/>
      <c r="Q5" s="1" t="s">
        <v>58</v>
      </c>
    </row>
    <row r="6" spans="1:48" ht="30" customHeight="1" x14ac:dyDescent="0.45">
      <c r="A6" s="10" t="s">
        <v>60</v>
      </c>
      <c r="B6" s="10" t="s">
        <v>53</v>
      </c>
      <c r="C6" s="10" t="s">
        <v>61</v>
      </c>
      <c r="D6" s="11">
        <v>65.94</v>
      </c>
      <c r="E6" s="12">
        <f>TRUNC(일위대가목록!E4,0)</f>
        <v>0</v>
      </c>
      <c r="F6" s="12">
        <f>TRUNC(E6*D6, 0)</f>
        <v>0</v>
      </c>
      <c r="G6" s="12">
        <f>TRUNC(일위대가목록!F4,0)</f>
        <v>11054</v>
      </c>
      <c r="H6" s="12">
        <f>TRUNC(G6*D6, 0)</f>
        <v>728900</v>
      </c>
      <c r="I6" s="12">
        <f>TRUNC(일위대가목록!G4,0)</f>
        <v>221</v>
      </c>
      <c r="J6" s="12">
        <f>TRUNC(I6*D6, 0)</f>
        <v>14572</v>
      </c>
      <c r="K6" s="12">
        <f>TRUNC(E6+G6+I6, 0)</f>
        <v>11275</v>
      </c>
      <c r="L6" s="12">
        <f>TRUNC(F6+H6+J6, 0)</f>
        <v>743472</v>
      </c>
      <c r="M6" s="10" t="s">
        <v>62</v>
      </c>
      <c r="N6" s="1" t="s">
        <v>63</v>
      </c>
      <c r="O6" s="1" t="s">
        <v>53</v>
      </c>
      <c r="P6" s="1" t="s">
        <v>53</v>
      </c>
      <c r="Q6" s="1" t="s">
        <v>58</v>
      </c>
      <c r="R6" s="1" t="s">
        <v>64</v>
      </c>
      <c r="S6" s="1" t="s">
        <v>65</v>
      </c>
      <c r="T6" s="1" t="s">
        <v>65</v>
      </c>
      <c r="AR6" s="1" t="s">
        <v>53</v>
      </c>
      <c r="AS6" s="1" t="s">
        <v>53</v>
      </c>
      <c r="AU6" s="1" t="s">
        <v>66</v>
      </c>
      <c r="AV6">
        <v>5</v>
      </c>
    </row>
    <row r="7" spans="1:48" ht="30" customHeight="1" x14ac:dyDescent="0.45">
      <c r="A7" s="10" t="s">
        <v>67</v>
      </c>
      <c r="B7" s="10" t="s">
        <v>68</v>
      </c>
      <c r="C7" s="10" t="s">
        <v>69</v>
      </c>
      <c r="D7" s="11">
        <v>0.27</v>
      </c>
      <c r="E7" s="12">
        <f>TRUNC(일위대가목록!E5,0)</f>
        <v>2281</v>
      </c>
      <c r="F7" s="12">
        <f>TRUNC(E7*D7, 0)</f>
        <v>615</v>
      </c>
      <c r="G7" s="12">
        <f>TRUNC(일위대가목록!F5,0)</f>
        <v>228171</v>
      </c>
      <c r="H7" s="12">
        <f>TRUNC(G7*D7, 0)</f>
        <v>61606</v>
      </c>
      <c r="I7" s="12">
        <f>TRUNC(일위대가목록!G5,0)</f>
        <v>2033</v>
      </c>
      <c r="J7" s="12">
        <f>TRUNC(I7*D7, 0)</f>
        <v>548</v>
      </c>
      <c r="K7" s="12">
        <f>TRUNC(E7+G7+I7, 0)</f>
        <v>232485</v>
      </c>
      <c r="L7" s="12">
        <f>TRUNC(F7+H7+J7, 0)</f>
        <v>62769</v>
      </c>
      <c r="M7" s="10" t="s">
        <v>70</v>
      </c>
      <c r="N7" s="1" t="s">
        <v>71</v>
      </c>
      <c r="O7" s="1" t="s">
        <v>53</v>
      </c>
      <c r="P7" s="1" t="s">
        <v>53</v>
      </c>
      <c r="Q7" s="1" t="s">
        <v>58</v>
      </c>
      <c r="R7" s="1" t="s">
        <v>64</v>
      </c>
      <c r="S7" s="1" t="s">
        <v>65</v>
      </c>
      <c r="T7" s="1" t="s">
        <v>65</v>
      </c>
      <c r="AR7" s="1" t="s">
        <v>53</v>
      </c>
      <c r="AS7" s="1" t="s">
        <v>53</v>
      </c>
      <c r="AU7" s="1" t="s">
        <v>72</v>
      </c>
      <c r="AV7">
        <v>34</v>
      </c>
    </row>
    <row r="8" spans="1:48" ht="30" customHeight="1" x14ac:dyDescent="0.45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  <c r="Q8" s="1" t="s">
        <v>58</v>
      </c>
    </row>
    <row r="9" spans="1:48" ht="30" customHeight="1" x14ac:dyDescent="0.45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58</v>
      </c>
    </row>
    <row r="10" spans="1:48" ht="30" customHeight="1" x14ac:dyDescent="0.45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58</v>
      </c>
    </row>
    <row r="11" spans="1:48" ht="30" customHeight="1" x14ac:dyDescent="0.45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58</v>
      </c>
    </row>
    <row r="12" spans="1:48" ht="30" customHeight="1" x14ac:dyDescent="0.45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58</v>
      </c>
    </row>
    <row r="13" spans="1:48" ht="30" customHeight="1" x14ac:dyDescent="0.45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58</v>
      </c>
    </row>
    <row r="14" spans="1:48" ht="30" customHeight="1" x14ac:dyDescent="0.45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58</v>
      </c>
    </row>
    <row r="15" spans="1:48" ht="30" customHeight="1" x14ac:dyDescent="0.45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58</v>
      </c>
    </row>
    <row r="16" spans="1:48" ht="30" customHeight="1" x14ac:dyDescent="0.45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58</v>
      </c>
    </row>
    <row r="17" spans="1:48" ht="30" customHeight="1" x14ac:dyDescent="0.45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58</v>
      </c>
    </row>
    <row r="18" spans="1:48" ht="30" customHeight="1" x14ac:dyDescent="0.45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58</v>
      </c>
    </row>
    <row r="19" spans="1:48" ht="30" customHeight="1" x14ac:dyDescent="0.45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58</v>
      </c>
    </row>
    <row r="20" spans="1:48" ht="30" customHeight="1" x14ac:dyDescent="0.45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58</v>
      </c>
    </row>
    <row r="21" spans="1:48" ht="30" customHeight="1" x14ac:dyDescent="0.45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58</v>
      </c>
    </row>
    <row r="22" spans="1:48" ht="30" customHeight="1" x14ac:dyDescent="0.45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58</v>
      </c>
    </row>
    <row r="23" spans="1:48" ht="30" customHeight="1" x14ac:dyDescent="0.45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58</v>
      </c>
    </row>
    <row r="24" spans="1:48" ht="30" customHeight="1" x14ac:dyDescent="0.45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58</v>
      </c>
    </row>
    <row r="25" spans="1:48" ht="30" customHeight="1" x14ac:dyDescent="0.45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58</v>
      </c>
    </row>
    <row r="26" spans="1:48" ht="30" customHeight="1" x14ac:dyDescent="0.45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58</v>
      </c>
    </row>
    <row r="27" spans="1:48" ht="30" customHeight="1" x14ac:dyDescent="0.45">
      <c r="A27" s="10" t="s">
        <v>73</v>
      </c>
      <c r="B27" s="11"/>
      <c r="C27" s="11"/>
      <c r="D27" s="11"/>
      <c r="E27" s="12"/>
      <c r="F27" s="12">
        <f>SUMIF(Q6:Q26,"010101",F6:F26)</f>
        <v>615</v>
      </c>
      <c r="G27" s="12"/>
      <c r="H27" s="12">
        <f>SUMIF(Q6:Q26,"010101",H6:H26)</f>
        <v>790506</v>
      </c>
      <c r="I27" s="12"/>
      <c r="J27" s="12">
        <f>SUMIF(Q6:Q26,"010101",J6:J26)</f>
        <v>15120</v>
      </c>
      <c r="K27" s="12"/>
      <c r="L27" s="12">
        <f>SUMIF(Q6:Q26,"010101",L6:L26)</f>
        <v>806241</v>
      </c>
      <c r="M27" s="11"/>
      <c r="N27" t="s">
        <v>74</v>
      </c>
    </row>
    <row r="28" spans="1:48" ht="30" customHeight="1" x14ac:dyDescent="0.45">
      <c r="A28" s="10" t="s">
        <v>75</v>
      </c>
      <c r="B28" s="10" t="s">
        <v>59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76</v>
      </c>
    </row>
    <row r="29" spans="1:48" ht="30" customHeight="1" x14ac:dyDescent="0.45">
      <c r="A29" s="10" t="s">
        <v>77</v>
      </c>
      <c r="B29" s="10" t="s">
        <v>78</v>
      </c>
      <c r="C29" s="10" t="s">
        <v>61</v>
      </c>
      <c r="D29" s="11">
        <v>67.64</v>
      </c>
      <c r="E29" s="12">
        <f>TRUNC(일위대가목록!E6,0)</f>
        <v>106848</v>
      </c>
      <c r="F29" s="12">
        <f t="shared" ref="F29:F40" si="0">TRUNC(E29*D29, 0)</f>
        <v>7227198</v>
      </c>
      <c r="G29" s="12">
        <f>TRUNC(일위대가목록!F6,0)</f>
        <v>56002</v>
      </c>
      <c r="H29" s="12">
        <f t="shared" ref="H29:H40" si="1">TRUNC(G29*D29, 0)</f>
        <v>3787975</v>
      </c>
      <c r="I29" s="12">
        <f>TRUNC(일위대가목록!G6,0)</f>
        <v>1120</v>
      </c>
      <c r="J29" s="12">
        <f t="shared" ref="J29:J40" si="2">TRUNC(I29*D29, 0)</f>
        <v>75756</v>
      </c>
      <c r="K29" s="12">
        <f t="shared" ref="K29:K40" si="3">TRUNC(E29+G29+I29, 0)</f>
        <v>163970</v>
      </c>
      <c r="L29" s="12">
        <f t="shared" ref="L29:L40" si="4">TRUNC(F29+H29+J29, 0)</f>
        <v>11090929</v>
      </c>
      <c r="M29" s="10" t="s">
        <v>79</v>
      </c>
      <c r="N29" s="1" t="s">
        <v>80</v>
      </c>
      <c r="O29" s="1" t="s">
        <v>53</v>
      </c>
      <c r="P29" s="1" t="s">
        <v>53</v>
      </c>
      <c r="Q29" s="1" t="s">
        <v>76</v>
      </c>
      <c r="R29" s="1" t="s">
        <v>64</v>
      </c>
      <c r="S29" s="1" t="s">
        <v>65</v>
      </c>
      <c r="T29" s="1" t="s">
        <v>65</v>
      </c>
      <c r="AR29" s="1" t="s">
        <v>53</v>
      </c>
      <c r="AS29" s="1" t="s">
        <v>53</v>
      </c>
      <c r="AU29" s="1" t="s">
        <v>81</v>
      </c>
      <c r="AV29">
        <v>7</v>
      </c>
    </row>
    <row r="30" spans="1:48" ht="30" customHeight="1" x14ac:dyDescent="0.45">
      <c r="A30" s="10" t="s">
        <v>82</v>
      </c>
      <c r="B30" s="10" t="s">
        <v>83</v>
      </c>
      <c r="C30" s="10" t="s">
        <v>84</v>
      </c>
      <c r="D30" s="11">
        <v>1375</v>
      </c>
      <c r="E30" s="12">
        <f>TRUNC(일위대가목록!E7,0)</f>
        <v>0</v>
      </c>
      <c r="F30" s="12">
        <f t="shared" si="0"/>
        <v>0</v>
      </c>
      <c r="G30" s="12">
        <f>TRUNC(일위대가목록!F7,0)</f>
        <v>19269</v>
      </c>
      <c r="H30" s="12">
        <f t="shared" si="1"/>
        <v>26494875</v>
      </c>
      <c r="I30" s="12">
        <f>TRUNC(일위대가목록!G7,0)</f>
        <v>0</v>
      </c>
      <c r="J30" s="12">
        <f t="shared" si="2"/>
        <v>0</v>
      </c>
      <c r="K30" s="12">
        <f t="shared" si="3"/>
        <v>19269</v>
      </c>
      <c r="L30" s="12">
        <f t="shared" si="4"/>
        <v>26494875</v>
      </c>
      <c r="M30" s="10" t="s">
        <v>85</v>
      </c>
      <c r="N30" s="1" t="s">
        <v>86</v>
      </c>
      <c r="O30" s="1" t="s">
        <v>53</v>
      </c>
      <c r="P30" s="1" t="s">
        <v>53</v>
      </c>
      <c r="Q30" s="1" t="s">
        <v>76</v>
      </c>
      <c r="R30" s="1" t="s">
        <v>64</v>
      </c>
      <c r="S30" s="1" t="s">
        <v>65</v>
      </c>
      <c r="T30" s="1" t="s">
        <v>65</v>
      </c>
      <c r="AR30" s="1" t="s">
        <v>53</v>
      </c>
      <c r="AS30" s="1" t="s">
        <v>53</v>
      </c>
      <c r="AU30" s="1" t="s">
        <v>87</v>
      </c>
      <c r="AV30">
        <v>48</v>
      </c>
    </row>
    <row r="31" spans="1:48" ht="30" customHeight="1" x14ac:dyDescent="0.45">
      <c r="A31" s="10" t="s">
        <v>88</v>
      </c>
      <c r="B31" s="10" t="s">
        <v>89</v>
      </c>
      <c r="C31" s="10" t="s">
        <v>90</v>
      </c>
      <c r="D31" s="11">
        <v>738</v>
      </c>
      <c r="E31" s="12">
        <f>TRUNC(단가대비표!O40,0)</f>
        <v>28750</v>
      </c>
      <c r="F31" s="12">
        <f t="shared" si="0"/>
        <v>21217500</v>
      </c>
      <c r="G31" s="12">
        <f>TRUNC(단가대비표!P40,0)</f>
        <v>0</v>
      </c>
      <c r="H31" s="12">
        <f t="shared" si="1"/>
        <v>0</v>
      </c>
      <c r="I31" s="12">
        <f>TRUNC(단가대비표!V40,0)</f>
        <v>0</v>
      </c>
      <c r="J31" s="12">
        <f t="shared" si="2"/>
        <v>0</v>
      </c>
      <c r="K31" s="12">
        <f t="shared" si="3"/>
        <v>28750</v>
      </c>
      <c r="L31" s="12">
        <f t="shared" si="4"/>
        <v>21217500</v>
      </c>
      <c r="M31" s="10" t="s">
        <v>53</v>
      </c>
      <c r="N31" s="1" t="s">
        <v>91</v>
      </c>
      <c r="O31" s="1" t="s">
        <v>53</v>
      </c>
      <c r="P31" s="1" t="s">
        <v>53</v>
      </c>
      <c r="Q31" s="1" t="s">
        <v>76</v>
      </c>
      <c r="R31" s="1" t="s">
        <v>65</v>
      </c>
      <c r="S31" s="1" t="s">
        <v>65</v>
      </c>
      <c r="T31" s="1" t="s">
        <v>64</v>
      </c>
      <c r="AR31" s="1" t="s">
        <v>53</v>
      </c>
      <c r="AS31" s="1" t="s">
        <v>53</v>
      </c>
      <c r="AU31" s="1" t="s">
        <v>92</v>
      </c>
      <c r="AV31">
        <v>36</v>
      </c>
    </row>
    <row r="32" spans="1:48" ht="30" customHeight="1" x14ac:dyDescent="0.45">
      <c r="A32" s="10" t="s">
        <v>93</v>
      </c>
      <c r="B32" s="10" t="s">
        <v>53</v>
      </c>
      <c r="C32" s="10" t="s">
        <v>90</v>
      </c>
      <c r="D32" s="11">
        <v>738</v>
      </c>
      <c r="E32" s="12">
        <f>TRUNC(단가대비표!O41,0)</f>
        <v>6900</v>
      </c>
      <c r="F32" s="12">
        <f t="shared" si="0"/>
        <v>5092200</v>
      </c>
      <c r="G32" s="12">
        <f>TRUNC(단가대비표!P41,0)</f>
        <v>0</v>
      </c>
      <c r="H32" s="12">
        <f t="shared" si="1"/>
        <v>0</v>
      </c>
      <c r="I32" s="12">
        <f>TRUNC(단가대비표!V41,0)</f>
        <v>0</v>
      </c>
      <c r="J32" s="12">
        <f t="shared" si="2"/>
        <v>0</v>
      </c>
      <c r="K32" s="12">
        <f t="shared" si="3"/>
        <v>6900</v>
      </c>
      <c r="L32" s="12">
        <f t="shared" si="4"/>
        <v>5092200</v>
      </c>
      <c r="M32" s="10" t="s">
        <v>53</v>
      </c>
      <c r="N32" s="1" t="s">
        <v>94</v>
      </c>
      <c r="O32" s="1" t="s">
        <v>53</v>
      </c>
      <c r="P32" s="1" t="s">
        <v>53</v>
      </c>
      <c r="Q32" s="1" t="s">
        <v>76</v>
      </c>
      <c r="R32" s="1" t="s">
        <v>65</v>
      </c>
      <c r="S32" s="1" t="s">
        <v>65</v>
      </c>
      <c r="T32" s="1" t="s">
        <v>64</v>
      </c>
      <c r="AR32" s="1" t="s">
        <v>53</v>
      </c>
      <c r="AS32" s="1" t="s">
        <v>53</v>
      </c>
      <c r="AU32" s="1" t="s">
        <v>95</v>
      </c>
      <c r="AV32">
        <v>37</v>
      </c>
    </row>
    <row r="33" spans="1:48" ht="30" customHeight="1" x14ac:dyDescent="0.45">
      <c r="A33" s="10" t="s">
        <v>96</v>
      </c>
      <c r="B33" s="10" t="s">
        <v>53</v>
      </c>
      <c r="C33" s="10" t="s">
        <v>90</v>
      </c>
      <c r="D33" s="11">
        <v>738</v>
      </c>
      <c r="E33" s="12">
        <f>TRUNC(단가대비표!O42,0)</f>
        <v>6900</v>
      </c>
      <c r="F33" s="12">
        <f t="shared" si="0"/>
        <v>5092200</v>
      </c>
      <c r="G33" s="12">
        <f>TRUNC(단가대비표!P42,0)</f>
        <v>0</v>
      </c>
      <c r="H33" s="12">
        <f t="shared" si="1"/>
        <v>0</v>
      </c>
      <c r="I33" s="12">
        <f>TRUNC(단가대비표!V42,0)</f>
        <v>0</v>
      </c>
      <c r="J33" s="12">
        <f t="shared" si="2"/>
        <v>0</v>
      </c>
      <c r="K33" s="12">
        <f t="shared" si="3"/>
        <v>6900</v>
      </c>
      <c r="L33" s="12">
        <f t="shared" si="4"/>
        <v>5092200</v>
      </c>
      <c r="M33" s="10" t="s">
        <v>53</v>
      </c>
      <c r="N33" s="1" t="s">
        <v>97</v>
      </c>
      <c r="O33" s="1" t="s">
        <v>53</v>
      </c>
      <c r="P33" s="1" t="s">
        <v>53</v>
      </c>
      <c r="Q33" s="1" t="s">
        <v>76</v>
      </c>
      <c r="R33" s="1" t="s">
        <v>65</v>
      </c>
      <c r="S33" s="1" t="s">
        <v>65</v>
      </c>
      <c r="T33" s="1" t="s">
        <v>64</v>
      </c>
      <c r="AR33" s="1" t="s">
        <v>53</v>
      </c>
      <c r="AS33" s="1" t="s">
        <v>53</v>
      </c>
      <c r="AU33" s="1" t="s">
        <v>98</v>
      </c>
      <c r="AV33">
        <v>38</v>
      </c>
    </row>
    <row r="34" spans="1:48" ht="30" customHeight="1" x14ac:dyDescent="0.45">
      <c r="A34" s="10" t="s">
        <v>99</v>
      </c>
      <c r="B34" s="10" t="s">
        <v>100</v>
      </c>
      <c r="C34" s="10" t="s">
        <v>90</v>
      </c>
      <c r="D34" s="11">
        <v>2356</v>
      </c>
      <c r="E34" s="12">
        <f>TRUNC(단가대비표!O43,0)</f>
        <v>35650</v>
      </c>
      <c r="F34" s="12">
        <f t="shared" si="0"/>
        <v>83991400</v>
      </c>
      <c r="G34" s="12">
        <f>TRUNC(단가대비표!P43,0)</f>
        <v>0</v>
      </c>
      <c r="H34" s="12">
        <f t="shared" si="1"/>
        <v>0</v>
      </c>
      <c r="I34" s="12">
        <f>TRUNC(단가대비표!V43,0)</f>
        <v>0</v>
      </c>
      <c r="J34" s="12">
        <f t="shared" si="2"/>
        <v>0</v>
      </c>
      <c r="K34" s="12">
        <f t="shared" si="3"/>
        <v>35650</v>
      </c>
      <c r="L34" s="12">
        <f t="shared" si="4"/>
        <v>83991400</v>
      </c>
      <c r="M34" s="10" t="s">
        <v>53</v>
      </c>
      <c r="N34" s="1" t="s">
        <v>101</v>
      </c>
      <c r="O34" s="1" t="s">
        <v>53</v>
      </c>
      <c r="P34" s="1" t="s">
        <v>53</v>
      </c>
      <c r="Q34" s="1" t="s">
        <v>76</v>
      </c>
      <c r="R34" s="1" t="s">
        <v>65</v>
      </c>
      <c r="S34" s="1" t="s">
        <v>65</v>
      </c>
      <c r="T34" s="1" t="s">
        <v>64</v>
      </c>
      <c r="AR34" s="1" t="s">
        <v>53</v>
      </c>
      <c r="AS34" s="1" t="s">
        <v>53</v>
      </c>
      <c r="AU34" s="1" t="s">
        <v>102</v>
      </c>
      <c r="AV34">
        <v>39</v>
      </c>
    </row>
    <row r="35" spans="1:48" ht="30" customHeight="1" x14ac:dyDescent="0.45">
      <c r="A35" s="10" t="s">
        <v>103</v>
      </c>
      <c r="B35" s="10" t="s">
        <v>53</v>
      </c>
      <c r="C35" s="10" t="s">
        <v>90</v>
      </c>
      <c r="D35" s="11">
        <v>4712</v>
      </c>
      <c r="E35" s="12">
        <f>TRUNC(단가대비표!O44,0)</f>
        <v>6900</v>
      </c>
      <c r="F35" s="12">
        <f t="shared" si="0"/>
        <v>32512800</v>
      </c>
      <c r="G35" s="12">
        <f>TRUNC(단가대비표!P44,0)</f>
        <v>0</v>
      </c>
      <c r="H35" s="12">
        <f t="shared" si="1"/>
        <v>0</v>
      </c>
      <c r="I35" s="12">
        <f>TRUNC(단가대비표!V44,0)</f>
        <v>0</v>
      </c>
      <c r="J35" s="12">
        <f t="shared" si="2"/>
        <v>0</v>
      </c>
      <c r="K35" s="12">
        <f t="shared" si="3"/>
        <v>6900</v>
      </c>
      <c r="L35" s="12">
        <f t="shared" si="4"/>
        <v>32512800</v>
      </c>
      <c r="M35" s="10" t="s">
        <v>53</v>
      </c>
      <c r="N35" s="1" t="s">
        <v>104</v>
      </c>
      <c r="O35" s="1" t="s">
        <v>53</v>
      </c>
      <c r="P35" s="1" t="s">
        <v>53</v>
      </c>
      <c r="Q35" s="1" t="s">
        <v>76</v>
      </c>
      <c r="R35" s="1" t="s">
        <v>65</v>
      </c>
      <c r="S35" s="1" t="s">
        <v>65</v>
      </c>
      <c r="T35" s="1" t="s">
        <v>64</v>
      </c>
      <c r="AR35" s="1" t="s">
        <v>53</v>
      </c>
      <c r="AS35" s="1" t="s">
        <v>53</v>
      </c>
      <c r="AU35" s="1" t="s">
        <v>105</v>
      </c>
      <c r="AV35">
        <v>40</v>
      </c>
    </row>
    <row r="36" spans="1:48" ht="30" customHeight="1" x14ac:dyDescent="0.45">
      <c r="A36" s="10" t="s">
        <v>106</v>
      </c>
      <c r="B36" s="10" t="s">
        <v>107</v>
      </c>
      <c r="C36" s="10" t="s">
        <v>108</v>
      </c>
      <c r="D36" s="11">
        <v>49.39</v>
      </c>
      <c r="E36" s="12">
        <f>TRUNC(일위대가목록!E8,0)</f>
        <v>0</v>
      </c>
      <c r="F36" s="12">
        <f t="shared" si="0"/>
        <v>0</v>
      </c>
      <c r="G36" s="12">
        <f>TRUNC(일위대가목록!F8,0)</f>
        <v>0</v>
      </c>
      <c r="H36" s="12">
        <f t="shared" si="1"/>
        <v>0</v>
      </c>
      <c r="I36" s="12">
        <f>TRUNC(일위대가목록!G8,0)</f>
        <v>91000</v>
      </c>
      <c r="J36" s="12">
        <f t="shared" si="2"/>
        <v>4494490</v>
      </c>
      <c r="K36" s="12">
        <f t="shared" si="3"/>
        <v>91000</v>
      </c>
      <c r="L36" s="12">
        <f t="shared" si="4"/>
        <v>4494490</v>
      </c>
      <c r="M36" s="10" t="s">
        <v>109</v>
      </c>
      <c r="N36" s="1" t="s">
        <v>110</v>
      </c>
      <c r="O36" s="1" t="s">
        <v>53</v>
      </c>
      <c r="P36" s="1" t="s">
        <v>53</v>
      </c>
      <c r="Q36" s="1" t="s">
        <v>76</v>
      </c>
      <c r="R36" s="1" t="s">
        <v>64</v>
      </c>
      <c r="S36" s="1" t="s">
        <v>65</v>
      </c>
      <c r="T36" s="1" t="s">
        <v>65</v>
      </c>
      <c r="AR36" s="1" t="s">
        <v>53</v>
      </c>
      <c r="AS36" s="1" t="s">
        <v>53</v>
      </c>
      <c r="AU36" s="1" t="s">
        <v>111</v>
      </c>
      <c r="AV36">
        <v>9</v>
      </c>
    </row>
    <row r="37" spans="1:48" ht="30" customHeight="1" x14ac:dyDescent="0.45">
      <c r="A37" s="10" t="s">
        <v>112</v>
      </c>
      <c r="B37" s="10" t="s">
        <v>113</v>
      </c>
      <c r="C37" s="10" t="s">
        <v>90</v>
      </c>
      <c r="D37" s="11">
        <v>13</v>
      </c>
      <c r="E37" s="12">
        <f>TRUNC(일위대가목록!E9,0)</f>
        <v>10321</v>
      </c>
      <c r="F37" s="12">
        <f t="shared" si="0"/>
        <v>134173</v>
      </c>
      <c r="G37" s="12">
        <f>TRUNC(일위대가목록!F9,0)</f>
        <v>25594</v>
      </c>
      <c r="H37" s="12">
        <f t="shared" si="1"/>
        <v>332722</v>
      </c>
      <c r="I37" s="12">
        <f>TRUNC(일위대가목록!G9,0)</f>
        <v>154</v>
      </c>
      <c r="J37" s="12">
        <f t="shared" si="2"/>
        <v>2002</v>
      </c>
      <c r="K37" s="12">
        <f t="shared" si="3"/>
        <v>36069</v>
      </c>
      <c r="L37" s="12">
        <f t="shared" si="4"/>
        <v>468897</v>
      </c>
      <c r="M37" s="10" t="s">
        <v>114</v>
      </c>
      <c r="N37" s="1" t="s">
        <v>115</v>
      </c>
      <c r="O37" s="1" t="s">
        <v>53</v>
      </c>
      <c r="P37" s="1" t="s">
        <v>53</v>
      </c>
      <c r="Q37" s="1" t="s">
        <v>76</v>
      </c>
      <c r="R37" s="1" t="s">
        <v>64</v>
      </c>
      <c r="S37" s="1" t="s">
        <v>65</v>
      </c>
      <c r="T37" s="1" t="s">
        <v>65</v>
      </c>
      <c r="AR37" s="1" t="s">
        <v>53</v>
      </c>
      <c r="AS37" s="1" t="s">
        <v>53</v>
      </c>
      <c r="AU37" s="1" t="s">
        <v>116</v>
      </c>
      <c r="AV37">
        <v>41</v>
      </c>
    </row>
    <row r="38" spans="1:48" ht="30" customHeight="1" x14ac:dyDescent="0.45">
      <c r="A38" s="10" t="s">
        <v>117</v>
      </c>
      <c r="B38" s="10" t="s">
        <v>118</v>
      </c>
      <c r="C38" s="10" t="s">
        <v>84</v>
      </c>
      <c r="D38" s="11">
        <v>4.0999999999999996</v>
      </c>
      <c r="E38" s="12">
        <f>TRUNC(일위대가목록!E10,0)</f>
        <v>19829</v>
      </c>
      <c r="F38" s="12">
        <f t="shared" si="0"/>
        <v>81298</v>
      </c>
      <c r="G38" s="12">
        <f>TRUNC(일위대가목록!F10,0)</f>
        <v>37029</v>
      </c>
      <c r="H38" s="12">
        <f t="shared" si="1"/>
        <v>151818</v>
      </c>
      <c r="I38" s="12">
        <f>TRUNC(일위대가목록!G10,0)</f>
        <v>1848</v>
      </c>
      <c r="J38" s="12">
        <f t="shared" si="2"/>
        <v>7576</v>
      </c>
      <c r="K38" s="12">
        <f t="shared" si="3"/>
        <v>58706</v>
      </c>
      <c r="L38" s="12">
        <f t="shared" si="4"/>
        <v>240692</v>
      </c>
      <c r="M38" s="10" t="s">
        <v>119</v>
      </c>
      <c r="N38" s="1" t="s">
        <v>120</v>
      </c>
      <c r="O38" s="1" t="s">
        <v>53</v>
      </c>
      <c r="P38" s="1" t="s">
        <v>53</v>
      </c>
      <c r="Q38" s="1" t="s">
        <v>76</v>
      </c>
      <c r="R38" s="1" t="s">
        <v>64</v>
      </c>
      <c r="S38" s="1" t="s">
        <v>65</v>
      </c>
      <c r="T38" s="1" t="s">
        <v>65</v>
      </c>
      <c r="AR38" s="1" t="s">
        <v>53</v>
      </c>
      <c r="AS38" s="1" t="s">
        <v>53</v>
      </c>
      <c r="AU38" s="1" t="s">
        <v>121</v>
      </c>
      <c r="AV38">
        <v>42</v>
      </c>
    </row>
    <row r="39" spans="1:48" ht="30" customHeight="1" x14ac:dyDescent="0.45">
      <c r="A39" s="10" t="s">
        <v>117</v>
      </c>
      <c r="B39" s="10" t="s">
        <v>122</v>
      </c>
      <c r="C39" s="10" t="s">
        <v>84</v>
      </c>
      <c r="D39" s="11">
        <v>21.2</v>
      </c>
      <c r="E39" s="12">
        <f>TRUNC(일위대가목록!E11,0)</f>
        <v>13574</v>
      </c>
      <c r="F39" s="12">
        <f t="shared" si="0"/>
        <v>287768</v>
      </c>
      <c r="G39" s="12">
        <f>TRUNC(일위대가목록!F11,0)</f>
        <v>25197</v>
      </c>
      <c r="H39" s="12">
        <f t="shared" si="1"/>
        <v>534176</v>
      </c>
      <c r="I39" s="12">
        <f>TRUNC(일위대가목록!G11,0)</f>
        <v>1257</v>
      </c>
      <c r="J39" s="12">
        <f t="shared" si="2"/>
        <v>26648</v>
      </c>
      <c r="K39" s="12">
        <f t="shared" si="3"/>
        <v>40028</v>
      </c>
      <c r="L39" s="12">
        <f t="shared" si="4"/>
        <v>848592</v>
      </c>
      <c r="M39" s="10" t="s">
        <v>123</v>
      </c>
      <c r="N39" s="1" t="s">
        <v>124</v>
      </c>
      <c r="O39" s="1" t="s">
        <v>53</v>
      </c>
      <c r="P39" s="1" t="s">
        <v>53</v>
      </c>
      <c r="Q39" s="1" t="s">
        <v>76</v>
      </c>
      <c r="R39" s="1" t="s">
        <v>64</v>
      </c>
      <c r="S39" s="1" t="s">
        <v>65</v>
      </c>
      <c r="T39" s="1" t="s">
        <v>65</v>
      </c>
      <c r="AR39" s="1" t="s">
        <v>53</v>
      </c>
      <c r="AS39" s="1" t="s">
        <v>53</v>
      </c>
      <c r="AU39" s="1" t="s">
        <v>125</v>
      </c>
      <c r="AV39">
        <v>43</v>
      </c>
    </row>
    <row r="40" spans="1:48" ht="30" customHeight="1" x14ac:dyDescent="0.45">
      <c r="A40" s="10" t="s">
        <v>126</v>
      </c>
      <c r="B40" s="10" t="s">
        <v>127</v>
      </c>
      <c r="C40" s="10" t="s">
        <v>90</v>
      </c>
      <c r="D40" s="11">
        <v>26</v>
      </c>
      <c r="E40" s="12">
        <f>TRUNC(일위대가목록!E12,0)</f>
        <v>1153</v>
      </c>
      <c r="F40" s="12">
        <f t="shared" si="0"/>
        <v>29978</v>
      </c>
      <c r="G40" s="12">
        <f>TRUNC(일위대가목록!F12,0)</f>
        <v>6504</v>
      </c>
      <c r="H40" s="12">
        <f t="shared" si="1"/>
        <v>169104</v>
      </c>
      <c r="I40" s="12">
        <f>TRUNC(일위대가목록!G12,0)</f>
        <v>277</v>
      </c>
      <c r="J40" s="12">
        <f t="shared" si="2"/>
        <v>7202</v>
      </c>
      <c r="K40" s="12">
        <f t="shared" si="3"/>
        <v>7934</v>
      </c>
      <c r="L40" s="12">
        <f t="shared" si="4"/>
        <v>206284</v>
      </c>
      <c r="M40" s="10" t="s">
        <v>128</v>
      </c>
      <c r="N40" s="1" t="s">
        <v>129</v>
      </c>
      <c r="O40" s="1" t="s">
        <v>53</v>
      </c>
      <c r="P40" s="1" t="s">
        <v>53</v>
      </c>
      <c r="Q40" s="1" t="s">
        <v>76</v>
      </c>
      <c r="R40" s="1" t="s">
        <v>64</v>
      </c>
      <c r="S40" s="1" t="s">
        <v>65</v>
      </c>
      <c r="T40" s="1" t="s">
        <v>65</v>
      </c>
      <c r="AR40" s="1" t="s">
        <v>53</v>
      </c>
      <c r="AS40" s="1" t="s">
        <v>53</v>
      </c>
      <c r="AU40" s="1" t="s">
        <v>130</v>
      </c>
      <c r="AV40">
        <v>44</v>
      </c>
    </row>
    <row r="41" spans="1:48" ht="30" customHeight="1" x14ac:dyDescent="0.45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76</v>
      </c>
    </row>
    <row r="42" spans="1:48" ht="30" customHeight="1" x14ac:dyDescent="0.45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76</v>
      </c>
    </row>
    <row r="43" spans="1:48" ht="30" customHeight="1" x14ac:dyDescent="0.45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76</v>
      </c>
    </row>
    <row r="44" spans="1:48" ht="30" customHeight="1" x14ac:dyDescent="0.45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76</v>
      </c>
    </row>
    <row r="45" spans="1:48" ht="30" customHeight="1" x14ac:dyDescent="0.45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76</v>
      </c>
    </row>
    <row r="46" spans="1:48" ht="30" customHeight="1" x14ac:dyDescent="0.45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76</v>
      </c>
    </row>
    <row r="47" spans="1:48" ht="30" customHeight="1" x14ac:dyDescent="0.45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76</v>
      </c>
    </row>
    <row r="48" spans="1:48" ht="30" customHeight="1" x14ac:dyDescent="0.45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76</v>
      </c>
    </row>
    <row r="49" spans="1:48" ht="30" customHeight="1" x14ac:dyDescent="0.45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76</v>
      </c>
    </row>
    <row r="50" spans="1:48" ht="30" customHeight="1" x14ac:dyDescent="0.45">
      <c r="A50" s="10" t="s">
        <v>73</v>
      </c>
      <c r="B50" s="11"/>
      <c r="C50" s="11"/>
      <c r="D50" s="11"/>
      <c r="E50" s="12"/>
      <c r="F50" s="12">
        <f>SUMIF(Q29:Q49,"010102",F29:F49)</f>
        <v>155666515</v>
      </c>
      <c r="G50" s="12"/>
      <c r="H50" s="12">
        <f>SUMIF(Q29:Q49,"010102",H29:H49)</f>
        <v>31470670</v>
      </c>
      <c r="I50" s="12"/>
      <c r="J50" s="12">
        <f>SUMIF(Q29:Q49,"010102",J29:J49)</f>
        <v>4613674</v>
      </c>
      <c r="K50" s="12"/>
      <c r="L50" s="12">
        <f>SUMIF(Q29:Q49,"010102",L29:L49)</f>
        <v>191750859</v>
      </c>
      <c r="M50" s="11"/>
      <c r="N50" t="s">
        <v>74</v>
      </c>
    </row>
    <row r="51" spans="1:48" ht="30" customHeight="1" x14ac:dyDescent="0.45">
      <c r="A51" s="10" t="s">
        <v>131</v>
      </c>
      <c r="B51" s="10" t="s">
        <v>59</v>
      </c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132</v>
      </c>
    </row>
    <row r="52" spans="1:48" ht="30" customHeight="1" x14ac:dyDescent="0.45">
      <c r="A52" s="10" t="s">
        <v>133</v>
      </c>
      <c r="B52" s="10" t="s">
        <v>53</v>
      </c>
      <c r="C52" s="10" t="s">
        <v>108</v>
      </c>
      <c r="D52" s="11">
        <v>0.62</v>
      </c>
      <c r="E52" s="12">
        <f>TRUNC(단가대비표!O22,0)</f>
        <v>0</v>
      </c>
      <c r="F52" s="12">
        <f>TRUNC(E52*D52, 0)</f>
        <v>0</v>
      </c>
      <c r="G52" s="12">
        <f>TRUNC(단가대비표!P22,0)</f>
        <v>0</v>
      </c>
      <c r="H52" s="12">
        <f>TRUNC(G52*D52, 0)</f>
        <v>0</v>
      </c>
      <c r="I52" s="12">
        <f>TRUNC(단가대비표!V22,0)</f>
        <v>3890</v>
      </c>
      <c r="J52" s="12">
        <f>TRUNC(I52*D52, 0)</f>
        <v>2411</v>
      </c>
      <c r="K52" s="12">
        <f>TRUNC(E52+G52+I52, 0)</f>
        <v>3890</v>
      </c>
      <c r="L52" s="12">
        <f>TRUNC(F52+H52+J52, 0)</f>
        <v>2411</v>
      </c>
      <c r="M52" s="10" t="s">
        <v>53</v>
      </c>
      <c r="N52" s="1" t="s">
        <v>134</v>
      </c>
      <c r="O52" s="1" t="s">
        <v>53</v>
      </c>
      <c r="P52" s="1" t="s">
        <v>53</v>
      </c>
      <c r="Q52" s="1" t="s">
        <v>132</v>
      </c>
      <c r="R52" s="1" t="s">
        <v>65</v>
      </c>
      <c r="S52" s="1" t="s">
        <v>65</v>
      </c>
      <c r="T52" s="1" t="s">
        <v>64</v>
      </c>
      <c r="AR52" s="1" t="s">
        <v>53</v>
      </c>
      <c r="AS52" s="1" t="s">
        <v>53</v>
      </c>
      <c r="AU52" s="1" t="s">
        <v>135</v>
      </c>
      <c r="AV52">
        <v>46</v>
      </c>
    </row>
    <row r="53" spans="1:48" ht="30" customHeight="1" x14ac:dyDescent="0.45">
      <c r="A53" s="10" t="s">
        <v>136</v>
      </c>
      <c r="B53" s="10" t="s">
        <v>53</v>
      </c>
      <c r="C53" s="10" t="s">
        <v>108</v>
      </c>
      <c r="D53" s="11">
        <v>11.64</v>
      </c>
      <c r="E53" s="12">
        <f>TRUNC(단가대비표!O23,0)</f>
        <v>0</v>
      </c>
      <c r="F53" s="12">
        <f>TRUNC(E53*D53, 0)</f>
        <v>0</v>
      </c>
      <c r="G53" s="12">
        <f>TRUNC(단가대비표!P23,0)</f>
        <v>0</v>
      </c>
      <c r="H53" s="12">
        <f>TRUNC(G53*D53, 0)</f>
        <v>0</v>
      </c>
      <c r="I53" s="12">
        <f>TRUNC(단가대비표!V23,0)</f>
        <v>6420</v>
      </c>
      <c r="J53" s="12">
        <f>TRUNC(I53*D53, 0)</f>
        <v>74728</v>
      </c>
      <c r="K53" s="12">
        <f>TRUNC(E53+G53+I53, 0)</f>
        <v>6420</v>
      </c>
      <c r="L53" s="12">
        <f>TRUNC(F53+H53+J53, 0)</f>
        <v>74728</v>
      </c>
      <c r="M53" s="10" t="s">
        <v>53</v>
      </c>
      <c r="N53" s="1" t="s">
        <v>137</v>
      </c>
      <c r="O53" s="1" t="s">
        <v>53</v>
      </c>
      <c r="P53" s="1" t="s">
        <v>53</v>
      </c>
      <c r="Q53" s="1" t="s">
        <v>132</v>
      </c>
      <c r="R53" s="1" t="s">
        <v>65</v>
      </c>
      <c r="S53" s="1" t="s">
        <v>65</v>
      </c>
      <c r="T53" s="1" t="s">
        <v>64</v>
      </c>
      <c r="AR53" s="1" t="s">
        <v>53</v>
      </c>
      <c r="AS53" s="1" t="s">
        <v>53</v>
      </c>
      <c r="AU53" s="1" t="s">
        <v>138</v>
      </c>
      <c r="AV53">
        <v>12</v>
      </c>
    </row>
    <row r="54" spans="1:48" ht="30" customHeight="1" x14ac:dyDescent="0.45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132</v>
      </c>
    </row>
    <row r="55" spans="1:48" ht="30" customHeight="1" x14ac:dyDescent="0.45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132</v>
      </c>
    </row>
    <row r="56" spans="1:48" ht="30" customHeight="1" x14ac:dyDescent="0.45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132</v>
      </c>
    </row>
    <row r="57" spans="1:48" ht="30" customHeight="1" x14ac:dyDescent="0.45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132</v>
      </c>
    </row>
    <row r="58" spans="1:48" ht="30" customHeight="1" x14ac:dyDescent="0.45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132</v>
      </c>
    </row>
    <row r="59" spans="1:48" ht="30" customHeight="1" x14ac:dyDescent="0.45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132</v>
      </c>
    </row>
    <row r="60" spans="1:48" ht="30" customHeight="1" x14ac:dyDescent="0.45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132</v>
      </c>
    </row>
    <row r="61" spans="1:48" ht="30" customHeight="1" x14ac:dyDescent="0.45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132</v>
      </c>
    </row>
    <row r="62" spans="1:48" ht="30" customHeight="1" x14ac:dyDescent="0.45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132</v>
      </c>
    </row>
    <row r="63" spans="1:48" ht="30" customHeight="1" x14ac:dyDescent="0.45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132</v>
      </c>
    </row>
    <row r="64" spans="1:48" ht="30" customHeight="1" x14ac:dyDescent="0.45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132</v>
      </c>
    </row>
    <row r="65" spans="1:48" ht="30" customHeight="1" x14ac:dyDescent="0.45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132</v>
      </c>
    </row>
    <row r="66" spans="1:48" ht="30" customHeight="1" x14ac:dyDescent="0.45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132</v>
      </c>
    </row>
    <row r="67" spans="1:48" ht="30" customHeight="1" x14ac:dyDescent="0.45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132</v>
      </c>
    </row>
    <row r="68" spans="1:48" ht="30" customHeight="1" x14ac:dyDescent="0.45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132</v>
      </c>
    </row>
    <row r="69" spans="1:48" ht="30" customHeight="1" x14ac:dyDescent="0.45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132</v>
      </c>
    </row>
    <row r="70" spans="1:48" ht="30" customHeight="1" x14ac:dyDescent="0.45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132</v>
      </c>
    </row>
    <row r="71" spans="1:48" ht="30" customHeight="1" x14ac:dyDescent="0.45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132</v>
      </c>
    </row>
    <row r="72" spans="1:48" ht="30" customHeight="1" x14ac:dyDescent="0.45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132</v>
      </c>
    </row>
    <row r="73" spans="1:48" ht="30" customHeight="1" x14ac:dyDescent="0.45">
      <c r="A73" s="10" t="s">
        <v>73</v>
      </c>
      <c r="B73" s="11"/>
      <c r="C73" s="11"/>
      <c r="D73" s="11"/>
      <c r="E73" s="12"/>
      <c r="F73" s="12">
        <f>SUMIF(Q52:Q72,"010103",F52:F72)</f>
        <v>0</v>
      </c>
      <c r="G73" s="12"/>
      <c r="H73" s="12">
        <f>SUMIF(Q52:Q72,"010103",H52:H72)</f>
        <v>0</v>
      </c>
      <c r="I73" s="12"/>
      <c r="J73" s="12">
        <f>SUMIF(Q52:Q72,"010103",J52:J72)</f>
        <v>77139</v>
      </c>
      <c r="K73" s="12"/>
      <c r="L73" s="12">
        <f>SUMIF(Q52:Q72,"010103",L52:L72)</f>
        <v>77139</v>
      </c>
      <c r="M73" s="11"/>
      <c r="N73" t="s">
        <v>74</v>
      </c>
    </row>
    <row r="74" spans="1:48" ht="30" customHeight="1" x14ac:dyDescent="0.45">
      <c r="A74" s="10" t="s">
        <v>139</v>
      </c>
      <c r="B74" s="10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140</v>
      </c>
    </row>
    <row r="75" spans="1:48" ht="30" customHeight="1" x14ac:dyDescent="0.45">
      <c r="A75" s="10" t="s">
        <v>142</v>
      </c>
      <c r="B75" s="10" t="s">
        <v>143</v>
      </c>
      <c r="C75" s="10" t="s">
        <v>144</v>
      </c>
      <c r="D75" s="11">
        <v>1</v>
      </c>
      <c r="E75" s="12">
        <f>TRUNC(단가산출목록!E4,0)</f>
        <v>0</v>
      </c>
      <c r="F75" s="12">
        <f>TRUNC(E75*D75, 0)</f>
        <v>0</v>
      </c>
      <c r="G75" s="12">
        <f>TRUNC(단가산출목록!F4,0)</f>
        <v>0</v>
      </c>
      <c r="H75" s="12">
        <f>TRUNC(G75*D75, 0)</f>
        <v>0</v>
      </c>
      <c r="I75" s="12">
        <f>TRUNC(단가산출목록!G4,0)</f>
        <v>2116006</v>
      </c>
      <c r="J75" s="12">
        <f>TRUNC(I75*D75, 0)</f>
        <v>2116006</v>
      </c>
      <c r="K75" s="12">
        <f>TRUNC(E75+G75+I75, 0)</f>
        <v>2116006</v>
      </c>
      <c r="L75" s="12">
        <f>TRUNC(F75+H75+J75, 0)</f>
        <v>2116006</v>
      </c>
      <c r="M75" s="10" t="s">
        <v>145</v>
      </c>
      <c r="N75" s="1" t="s">
        <v>146</v>
      </c>
      <c r="O75" s="1" t="s">
        <v>53</v>
      </c>
      <c r="P75" s="1" t="s">
        <v>53</v>
      </c>
      <c r="Q75" s="1" t="s">
        <v>140</v>
      </c>
      <c r="R75" s="1" t="s">
        <v>65</v>
      </c>
      <c r="S75" s="1" t="s">
        <v>64</v>
      </c>
      <c r="T75" s="1" t="s">
        <v>65</v>
      </c>
      <c r="AR75" s="1" t="s">
        <v>53</v>
      </c>
      <c r="AS75" s="1" t="s">
        <v>53</v>
      </c>
      <c r="AU75" s="1" t="s">
        <v>147</v>
      </c>
      <c r="AV75">
        <v>50</v>
      </c>
    </row>
    <row r="76" spans="1:48" ht="30" customHeight="1" x14ac:dyDescent="0.45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140</v>
      </c>
    </row>
    <row r="77" spans="1:48" ht="30" customHeight="1" x14ac:dyDescent="0.45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140</v>
      </c>
    </row>
    <row r="78" spans="1:48" ht="30" customHeight="1" x14ac:dyDescent="0.45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140</v>
      </c>
    </row>
    <row r="79" spans="1:48" ht="30" customHeight="1" x14ac:dyDescent="0.45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140</v>
      </c>
    </row>
    <row r="80" spans="1:48" ht="30" customHeight="1" x14ac:dyDescent="0.45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140</v>
      </c>
    </row>
    <row r="81" spans="1:17" ht="30" customHeight="1" x14ac:dyDescent="0.45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140</v>
      </c>
    </row>
    <row r="82" spans="1:17" ht="30" customHeight="1" x14ac:dyDescent="0.45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140</v>
      </c>
    </row>
    <row r="83" spans="1:17" ht="30" customHeight="1" x14ac:dyDescent="0.45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140</v>
      </c>
    </row>
    <row r="84" spans="1:17" ht="30" customHeight="1" x14ac:dyDescent="0.45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140</v>
      </c>
    </row>
    <row r="85" spans="1:17" ht="30" customHeight="1" x14ac:dyDescent="0.45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140</v>
      </c>
    </row>
    <row r="86" spans="1:17" ht="30" customHeight="1" x14ac:dyDescent="0.45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140</v>
      </c>
    </row>
    <row r="87" spans="1:17" ht="30" customHeight="1" x14ac:dyDescent="0.45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140</v>
      </c>
    </row>
    <row r="88" spans="1:17" ht="30" customHeight="1" x14ac:dyDescent="0.45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140</v>
      </c>
    </row>
    <row r="89" spans="1:17" ht="30" customHeight="1" x14ac:dyDescent="0.45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140</v>
      </c>
    </row>
    <row r="90" spans="1:17" ht="30" customHeight="1" x14ac:dyDescent="0.45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140</v>
      </c>
    </row>
    <row r="91" spans="1:17" ht="30" customHeight="1" x14ac:dyDescent="0.45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140</v>
      </c>
    </row>
    <row r="92" spans="1:17" ht="30" customHeight="1" x14ac:dyDescent="0.45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140</v>
      </c>
    </row>
    <row r="93" spans="1:17" ht="30" customHeight="1" x14ac:dyDescent="0.45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140</v>
      </c>
    </row>
    <row r="94" spans="1:17" ht="30" customHeight="1" x14ac:dyDescent="0.45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140</v>
      </c>
    </row>
    <row r="95" spans="1:17" ht="30" customHeight="1" x14ac:dyDescent="0.45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140</v>
      </c>
    </row>
    <row r="96" spans="1:17" ht="30" customHeight="1" x14ac:dyDescent="0.45">
      <c r="A96" s="10" t="s">
        <v>73</v>
      </c>
      <c r="B96" s="11"/>
      <c r="C96" s="11"/>
      <c r="D96" s="11"/>
      <c r="E96" s="12"/>
      <c r="F96" s="12">
        <f>SUMIF(Q75:Q95,"0102",F75:F95)</f>
        <v>0</v>
      </c>
      <c r="G96" s="12"/>
      <c r="H96" s="12">
        <f>SUMIF(Q75:Q95,"0102",H75:H95)</f>
        <v>0</v>
      </c>
      <c r="I96" s="12"/>
      <c r="J96" s="12">
        <f>SUMIF(Q75:Q95,"0102",J75:J95)</f>
        <v>2116006</v>
      </c>
      <c r="K96" s="12"/>
      <c r="L96" s="12">
        <f>SUMIF(Q75:Q95,"0102",L75:L95)</f>
        <v>2116006</v>
      </c>
      <c r="M96" s="11"/>
      <c r="N96" t="s">
        <v>74</v>
      </c>
    </row>
    <row r="97" spans="1:48" ht="30" customHeight="1" x14ac:dyDescent="0.45">
      <c r="A97" s="10" t="s">
        <v>148</v>
      </c>
      <c r="B97" s="10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149</v>
      </c>
    </row>
    <row r="98" spans="1:48" ht="30" customHeight="1" x14ac:dyDescent="0.45">
      <c r="A98" s="10" t="s">
        <v>151</v>
      </c>
      <c r="B98" s="10" t="s">
        <v>152</v>
      </c>
      <c r="C98" s="10" t="s">
        <v>108</v>
      </c>
      <c r="D98" s="11">
        <v>0.62</v>
      </c>
      <c r="E98" s="12">
        <f>TRUNC(단가대비표!O20,0)</f>
        <v>0</v>
      </c>
      <c r="F98" s="12">
        <f>TRUNC(E98*D98, 0)</f>
        <v>0</v>
      </c>
      <c r="G98" s="12">
        <f>TRUNC(단가대비표!P20,0)</f>
        <v>0</v>
      </c>
      <c r="H98" s="12">
        <f>TRUNC(G98*D98, 0)</f>
        <v>0</v>
      </c>
      <c r="I98" s="12">
        <f>TRUNC(단가대비표!V20,0)</f>
        <v>450000</v>
      </c>
      <c r="J98" s="12">
        <f>TRUNC(I98*D98, 0)</f>
        <v>279000</v>
      </c>
      <c r="K98" s="12">
        <f t="shared" ref="K98:L101" si="5">TRUNC(E98+G98+I98, 0)</f>
        <v>450000</v>
      </c>
      <c r="L98" s="12">
        <f t="shared" si="5"/>
        <v>279000</v>
      </c>
      <c r="M98" s="10" t="s">
        <v>53</v>
      </c>
      <c r="N98" s="1" t="s">
        <v>153</v>
      </c>
      <c r="O98" s="1" t="s">
        <v>53</v>
      </c>
      <c r="P98" s="1" t="s">
        <v>53</v>
      </c>
      <c r="Q98" s="1" t="s">
        <v>149</v>
      </c>
      <c r="R98" s="1" t="s">
        <v>65</v>
      </c>
      <c r="S98" s="1" t="s">
        <v>65</v>
      </c>
      <c r="T98" s="1" t="s">
        <v>64</v>
      </c>
      <c r="AR98" s="1" t="s">
        <v>53</v>
      </c>
      <c r="AS98" s="1" t="s">
        <v>53</v>
      </c>
      <c r="AU98" s="1" t="s">
        <v>154</v>
      </c>
      <c r="AV98">
        <v>45</v>
      </c>
    </row>
    <row r="99" spans="1:48" ht="30" customHeight="1" x14ac:dyDescent="0.45">
      <c r="A99" s="10" t="s">
        <v>151</v>
      </c>
      <c r="B99" s="10" t="s">
        <v>155</v>
      </c>
      <c r="C99" s="10" t="s">
        <v>108</v>
      </c>
      <c r="D99" s="11">
        <v>11.64</v>
      </c>
      <c r="E99" s="12">
        <f>TRUNC(단가대비표!O21,0)</f>
        <v>0</v>
      </c>
      <c r="F99" s="12">
        <f>TRUNC(E99*D99, 0)</f>
        <v>0</v>
      </c>
      <c r="G99" s="12">
        <f>TRUNC(단가대비표!P21,0)</f>
        <v>0</v>
      </c>
      <c r="H99" s="12">
        <f>TRUNC(G99*D99, 0)</f>
        <v>0</v>
      </c>
      <c r="I99" s="12">
        <f>TRUNC(단가대비표!V21,0)</f>
        <v>450000</v>
      </c>
      <c r="J99" s="12">
        <f>TRUNC(I99*D99, 0)</f>
        <v>5238000</v>
      </c>
      <c r="K99" s="12">
        <f t="shared" si="5"/>
        <v>450000</v>
      </c>
      <c r="L99" s="12">
        <f t="shared" si="5"/>
        <v>5238000</v>
      </c>
      <c r="M99" s="10" t="s">
        <v>53</v>
      </c>
      <c r="N99" s="1" t="s">
        <v>156</v>
      </c>
      <c r="O99" s="1" t="s">
        <v>53</v>
      </c>
      <c r="P99" s="1" t="s">
        <v>53</v>
      </c>
      <c r="Q99" s="1" t="s">
        <v>149</v>
      </c>
      <c r="R99" s="1" t="s">
        <v>65</v>
      </c>
      <c r="S99" s="1" t="s">
        <v>65</v>
      </c>
      <c r="T99" s="1" t="s">
        <v>64</v>
      </c>
      <c r="AR99" s="1" t="s">
        <v>53</v>
      </c>
      <c r="AS99" s="1" t="s">
        <v>53</v>
      </c>
      <c r="AU99" s="1" t="s">
        <v>157</v>
      </c>
      <c r="AV99">
        <v>11</v>
      </c>
    </row>
    <row r="100" spans="1:48" ht="30" customHeight="1" x14ac:dyDescent="0.45">
      <c r="A100" s="10" t="s">
        <v>158</v>
      </c>
      <c r="B100" s="10" t="s">
        <v>159</v>
      </c>
      <c r="C100" s="10" t="s">
        <v>108</v>
      </c>
      <c r="D100" s="11">
        <v>0.62</v>
      </c>
      <c r="E100" s="12">
        <f>TRUNC(단가대비표!O24,0)</f>
        <v>0</v>
      </c>
      <c r="F100" s="12">
        <f>TRUNC(E100*D100, 0)</f>
        <v>0</v>
      </c>
      <c r="G100" s="12">
        <f>TRUNC(단가대비표!P24,0)</f>
        <v>0</v>
      </c>
      <c r="H100" s="12">
        <f>TRUNC(G100*D100, 0)</f>
        <v>0</v>
      </c>
      <c r="I100" s="12">
        <f>TRUNC(단가대비표!V24,0)</f>
        <v>19700</v>
      </c>
      <c r="J100" s="12">
        <f>TRUNC(I100*D100, 0)</f>
        <v>12214</v>
      </c>
      <c r="K100" s="12">
        <f t="shared" si="5"/>
        <v>19700</v>
      </c>
      <c r="L100" s="12">
        <f t="shared" si="5"/>
        <v>12214</v>
      </c>
      <c r="M100" s="10" t="s">
        <v>53</v>
      </c>
      <c r="N100" s="1" t="s">
        <v>160</v>
      </c>
      <c r="O100" s="1" t="s">
        <v>53</v>
      </c>
      <c r="P100" s="1" t="s">
        <v>53</v>
      </c>
      <c r="Q100" s="1" t="s">
        <v>149</v>
      </c>
      <c r="R100" s="1" t="s">
        <v>65</v>
      </c>
      <c r="S100" s="1" t="s">
        <v>65</v>
      </c>
      <c r="T100" s="1" t="s">
        <v>64</v>
      </c>
      <c r="AR100" s="1" t="s">
        <v>53</v>
      </c>
      <c r="AS100" s="1" t="s">
        <v>53</v>
      </c>
      <c r="AU100" s="1" t="s">
        <v>161</v>
      </c>
      <c r="AV100">
        <v>47</v>
      </c>
    </row>
    <row r="101" spans="1:48" ht="30" customHeight="1" x14ac:dyDescent="0.45">
      <c r="A101" s="10" t="s">
        <v>162</v>
      </c>
      <c r="B101" s="10" t="s">
        <v>163</v>
      </c>
      <c r="C101" s="10" t="s">
        <v>108</v>
      </c>
      <c r="D101" s="11">
        <v>11.64</v>
      </c>
      <c r="E101" s="12">
        <f>TRUNC(단가대비표!O25,0)</f>
        <v>0</v>
      </c>
      <c r="F101" s="12">
        <f>TRUNC(E101*D101, 0)</f>
        <v>0</v>
      </c>
      <c r="G101" s="12">
        <f>TRUNC(단가대비표!P25,0)</f>
        <v>0</v>
      </c>
      <c r="H101" s="12">
        <f>TRUNC(G101*D101, 0)</f>
        <v>0</v>
      </c>
      <c r="I101" s="12">
        <f>TRUNC(단가대비표!V25,0)</f>
        <v>74930</v>
      </c>
      <c r="J101" s="12">
        <f>TRUNC(I101*D101, 0)</f>
        <v>872185</v>
      </c>
      <c r="K101" s="12">
        <f t="shared" si="5"/>
        <v>74930</v>
      </c>
      <c r="L101" s="12">
        <f t="shared" si="5"/>
        <v>872185</v>
      </c>
      <c r="M101" s="10" t="s">
        <v>53</v>
      </c>
      <c r="N101" s="1" t="s">
        <v>164</v>
      </c>
      <c r="O101" s="1" t="s">
        <v>53</v>
      </c>
      <c r="P101" s="1" t="s">
        <v>53</v>
      </c>
      <c r="Q101" s="1" t="s">
        <v>149</v>
      </c>
      <c r="R101" s="1" t="s">
        <v>65</v>
      </c>
      <c r="S101" s="1" t="s">
        <v>65</v>
      </c>
      <c r="T101" s="1" t="s">
        <v>64</v>
      </c>
      <c r="AR101" s="1" t="s">
        <v>53</v>
      </c>
      <c r="AS101" s="1" t="s">
        <v>53</v>
      </c>
      <c r="AU101" s="1" t="s">
        <v>165</v>
      </c>
      <c r="AV101">
        <v>13</v>
      </c>
    </row>
    <row r="102" spans="1:48" ht="30" customHeight="1" x14ac:dyDescent="0.45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149</v>
      </c>
    </row>
    <row r="103" spans="1:48" ht="30" customHeight="1" x14ac:dyDescent="0.45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149</v>
      </c>
    </row>
    <row r="104" spans="1:48" ht="30" customHeight="1" x14ac:dyDescent="0.45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149</v>
      </c>
    </row>
    <row r="105" spans="1:48" ht="30" customHeight="1" x14ac:dyDescent="0.45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149</v>
      </c>
    </row>
    <row r="106" spans="1:48" ht="30" customHeight="1" x14ac:dyDescent="0.45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149</v>
      </c>
    </row>
    <row r="107" spans="1:48" ht="30" customHeight="1" x14ac:dyDescent="0.45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149</v>
      </c>
    </row>
    <row r="108" spans="1:48" ht="30" customHeight="1" x14ac:dyDescent="0.45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149</v>
      </c>
    </row>
    <row r="109" spans="1:48" ht="30" customHeight="1" x14ac:dyDescent="0.45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149</v>
      </c>
    </row>
    <row r="110" spans="1:48" ht="30" customHeight="1" x14ac:dyDescent="0.45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149</v>
      </c>
    </row>
    <row r="111" spans="1:48" ht="30" customHeight="1" x14ac:dyDescent="0.45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149</v>
      </c>
    </row>
    <row r="112" spans="1:48" ht="30" customHeight="1" x14ac:dyDescent="0.45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149</v>
      </c>
    </row>
    <row r="113" spans="1:48" ht="30" customHeight="1" x14ac:dyDescent="0.45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149</v>
      </c>
    </row>
    <row r="114" spans="1:48" ht="30" customHeight="1" x14ac:dyDescent="0.45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149</v>
      </c>
    </row>
    <row r="115" spans="1:48" ht="30" customHeight="1" x14ac:dyDescent="0.45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149</v>
      </c>
    </row>
    <row r="116" spans="1:48" ht="30" customHeight="1" x14ac:dyDescent="0.45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149</v>
      </c>
    </row>
    <row r="117" spans="1:48" ht="30" customHeight="1" x14ac:dyDescent="0.45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149</v>
      </c>
    </row>
    <row r="118" spans="1:48" ht="30" customHeight="1" x14ac:dyDescent="0.45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149</v>
      </c>
    </row>
    <row r="119" spans="1:48" ht="30" customHeight="1" x14ac:dyDescent="0.45">
      <c r="A119" s="10" t="s">
        <v>73</v>
      </c>
      <c r="B119" s="11"/>
      <c r="C119" s="11"/>
      <c r="D119" s="11"/>
      <c r="E119" s="12"/>
      <c r="F119" s="12">
        <f>SUMIF(Q98:Q118,"0103",F98:F118)</f>
        <v>0</v>
      </c>
      <c r="G119" s="12"/>
      <c r="H119" s="12">
        <f>SUMIF(Q98:Q118,"0103",H98:H118)</f>
        <v>0</v>
      </c>
      <c r="I119" s="12"/>
      <c r="J119" s="12">
        <f>SUMIF(Q98:Q118,"0103",J98:J118)</f>
        <v>6401399</v>
      </c>
      <c r="K119" s="12"/>
      <c r="L119" s="12">
        <f>SUMIF(Q98:Q118,"0103",L98:L118)</f>
        <v>6401399</v>
      </c>
      <c r="M119" s="11"/>
      <c r="N119" t="s">
        <v>74</v>
      </c>
    </row>
    <row r="120" spans="1:48" ht="30" customHeight="1" x14ac:dyDescent="0.45">
      <c r="A120" s="10" t="s">
        <v>166</v>
      </c>
      <c r="B120" s="10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167</v>
      </c>
    </row>
    <row r="121" spans="1:48" ht="30" customHeight="1" x14ac:dyDescent="0.45">
      <c r="A121" s="10" t="s">
        <v>169</v>
      </c>
      <c r="B121" s="10" t="s">
        <v>170</v>
      </c>
      <c r="C121" s="10" t="s">
        <v>171</v>
      </c>
      <c r="D121" s="11">
        <v>-6949.61</v>
      </c>
      <c r="E121" s="12">
        <f>TRUNC(단가대비표!O11,0)</f>
        <v>360</v>
      </c>
      <c r="F121" s="12">
        <f>TRUNC(E121*D121, 0)</f>
        <v>-2501859</v>
      </c>
      <c r="G121" s="12">
        <f>TRUNC(단가대비표!P11,0)</f>
        <v>0</v>
      </c>
      <c r="H121" s="12">
        <f>TRUNC(G121*D121, 0)</f>
        <v>0</v>
      </c>
      <c r="I121" s="12">
        <f>TRUNC(단가대비표!V11,0)</f>
        <v>0</v>
      </c>
      <c r="J121" s="12">
        <f>TRUNC(I121*D121, 0)</f>
        <v>0</v>
      </c>
      <c r="K121" s="12">
        <f>TRUNC(E121+G121+I121, 0)</f>
        <v>360</v>
      </c>
      <c r="L121" s="12">
        <f>TRUNC(F121+H121+J121, 0)</f>
        <v>-2501859</v>
      </c>
      <c r="M121" s="10" t="s">
        <v>53</v>
      </c>
      <c r="N121" s="1" t="s">
        <v>172</v>
      </c>
      <c r="O121" s="1" t="s">
        <v>53</v>
      </c>
      <c r="P121" s="1" t="s">
        <v>53</v>
      </c>
      <c r="Q121" s="1" t="s">
        <v>167</v>
      </c>
      <c r="R121" s="1" t="s">
        <v>65</v>
      </c>
      <c r="S121" s="1" t="s">
        <v>65</v>
      </c>
      <c r="T121" s="1" t="s">
        <v>64</v>
      </c>
      <c r="AR121" s="1" t="s">
        <v>53</v>
      </c>
      <c r="AS121" s="1" t="s">
        <v>53</v>
      </c>
      <c r="AU121" s="1" t="s">
        <v>173</v>
      </c>
      <c r="AV121">
        <v>15</v>
      </c>
    </row>
    <row r="122" spans="1:48" ht="30" customHeight="1" x14ac:dyDescent="0.45">
      <c r="A122" s="10" t="s">
        <v>169</v>
      </c>
      <c r="B122" s="10" t="s">
        <v>174</v>
      </c>
      <c r="C122" s="10" t="s">
        <v>171</v>
      </c>
      <c r="D122" s="11">
        <v>-309.39999999999998</v>
      </c>
      <c r="E122" s="12">
        <f>TRUNC(단가대비표!O12,0)</f>
        <v>3500</v>
      </c>
      <c r="F122" s="12">
        <f>TRUNC(E122*D122, 0)</f>
        <v>-1082900</v>
      </c>
      <c r="G122" s="12">
        <f>TRUNC(단가대비표!P12,0)</f>
        <v>0</v>
      </c>
      <c r="H122" s="12">
        <f>TRUNC(G122*D122, 0)</f>
        <v>0</v>
      </c>
      <c r="I122" s="12">
        <f>TRUNC(단가대비표!V12,0)</f>
        <v>0</v>
      </c>
      <c r="J122" s="12">
        <f>TRUNC(I122*D122, 0)</f>
        <v>0</v>
      </c>
      <c r="K122" s="12">
        <f>TRUNC(E122+G122+I122, 0)</f>
        <v>3500</v>
      </c>
      <c r="L122" s="12">
        <f>TRUNC(F122+H122+J122, 0)</f>
        <v>-1082900</v>
      </c>
      <c r="M122" s="10" t="s">
        <v>53</v>
      </c>
      <c r="N122" s="1" t="s">
        <v>175</v>
      </c>
      <c r="O122" s="1" t="s">
        <v>53</v>
      </c>
      <c r="P122" s="1" t="s">
        <v>53</v>
      </c>
      <c r="Q122" s="1" t="s">
        <v>167</v>
      </c>
      <c r="R122" s="1" t="s">
        <v>65</v>
      </c>
      <c r="S122" s="1" t="s">
        <v>65</v>
      </c>
      <c r="T122" s="1" t="s">
        <v>64</v>
      </c>
      <c r="AR122" s="1" t="s">
        <v>53</v>
      </c>
      <c r="AS122" s="1" t="s">
        <v>53</v>
      </c>
      <c r="AU122" s="1" t="s">
        <v>176</v>
      </c>
      <c r="AV122">
        <v>16</v>
      </c>
    </row>
    <row r="123" spans="1:48" ht="30" customHeight="1" x14ac:dyDescent="0.45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167</v>
      </c>
    </row>
    <row r="124" spans="1:48" ht="30" customHeight="1" x14ac:dyDescent="0.45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167</v>
      </c>
    </row>
    <row r="125" spans="1:48" ht="30" customHeight="1" x14ac:dyDescent="0.45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167</v>
      </c>
    </row>
    <row r="126" spans="1:48" ht="30" customHeight="1" x14ac:dyDescent="0.45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167</v>
      </c>
    </row>
    <row r="127" spans="1:48" ht="30" customHeight="1" x14ac:dyDescent="0.45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167</v>
      </c>
    </row>
    <row r="128" spans="1:48" ht="30" customHeight="1" x14ac:dyDescent="0.45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167</v>
      </c>
    </row>
    <row r="129" spans="1:17" ht="30" customHeight="1" x14ac:dyDescent="0.45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167</v>
      </c>
    </row>
    <row r="130" spans="1:17" ht="30" customHeight="1" x14ac:dyDescent="0.45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167</v>
      </c>
    </row>
    <row r="131" spans="1:17" ht="30" customHeight="1" x14ac:dyDescent="0.45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167</v>
      </c>
    </row>
    <row r="132" spans="1:17" ht="30" customHeight="1" x14ac:dyDescent="0.45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167</v>
      </c>
    </row>
    <row r="133" spans="1:17" ht="30" customHeight="1" x14ac:dyDescent="0.45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167</v>
      </c>
    </row>
    <row r="134" spans="1:17" ht="30" customHeight="1" x14ac:dyDescent="0.45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167</v>
      </c>
    </row>
    <row r="135" spans="1:17" ht="30" customHeight="1" x14ac:dyDescent="0.45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167</v>
      </c>
    </row>
    <row r="136" spans="1:17" ht="30" customHeight="1" x14ac:dyDescent="0.45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167</v>
      </c>
    </row>
    <row r="137" spans="1:17" ht="30" customHeight="1" x14ac:dyDescent="0.45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167</v>
      </c>
    </row>
    <row r="138" spans="1:17" ht="30" customHeight="1" x14ac:dyDescent="0.45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167</v>
      </c>
    </row>
    <row r="139" spans="1:17" ht="30" customHeight="1" x14ac:dyDescent="0.45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167</v>
      </c>
    </row>
    <row r="140" spans="1:17" ht="30" customHeight="1" x14ac:dyDescent="0.45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167</v>
      </c>
    </row>
    <row r="141" spans="1:17" ht="30" customHeight="1" x14ac:dyDescent="0.45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167</v>
      </c>
    </row>
    <row r="142" spans="1:17" ht="30" customHeight="1" x14ac:dyDescent="0.45">
      <c r="A142" s="10" t="s">
        <v>73</v>
      </c>
      <c r="B142" s="11"/>
      <c r="C142" s="11"/>
      <c r="D142" s="11"/>
      <c r="E142" s="12"/>
      <c r="F142" s="12">
        <f>SUMIF(Q121:Q141,"0104",F121:F141)</f>
        <v>-3584759</v>
      </c>
      <c r="G142" s="12"/>
      <c r="H142" s="12">
        <f>SUMIF(Q121:Q141,"0104",H121:H141)</f>
        <v>0</v>
      </c>
      <c r="I142" s="12"/>
      <c r="J142" s="12">
        <f>SUMIF(Q121:Q141,"0104",J121:J141)</f>
        <v>0</v>
      </c>
      <c r="K142" s="12"/>
      <c r="L142" s="12">
        <f>SUMIF(Q121:Q141,"0104",L121:L141)</f>
        <v>-3584759</v>
      </c>
      <c r="M142" s="11"/>
      <c r="N142" t="s">
        <v>74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6" manualBreakCount="6">
    <brk id="27" max="16383" man="1"/>
    <brk id="50" max="16383" man="1"/>
    <brk id="73" max="16383" man="1"/>
    <brk id="96" max="16383" man="1"/>
    <brk id="119" max="16383" man="1"/>
    <brk id="14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31DA2-7D9C-48EF-8E69-F409949FF56B}">
  <sheetPr>
    <pageSetUpPr fitToPage="1"/>
  </sheetPr>
  <dimension ref="A1:N22"/>
  <sheetViews>
    <sheetView topLeftCell="B1" workbookViewId="0"/>
  </sheetViews>
  <sheetFormatPr defaultRowHeight="17" x14ac:dyDescent="0.45"/>
  <cols>
    <col min="1" max="1" width="11.58203125" hidden="1" customWidth="1"/>
    <col min="2" max="3" width="30.58203125" customWidth="1"/>
    <col min="4" max="4" width="4.58203125" customWidth="1"/>
    <col min="5" max="8" width="13.58203125" customWidth="1"/>
    <col min="9" max="9" width="8.58203125" customWidth="1"/>
    <col min="10" max="10" width="12.58203125" customWidth="1"/>
    <col min="11" max="12" width="2.58203125" hidden="1" customWidth="1"/>
    <col min="13" max="13" width="20.58203125" customWidth="1"/>
    <col min="14" max="14" width="2.58203125" hidden="1" customWidth="1"/>
  </cols>
  <sheetData>
    <row r="1" spans="1:14" ht="30" customHeight="1" x14ac:dyDescent="0.45">
      <c r="A1" s="3"/>
      <c r="B1" s="2" t="s">
        <v>177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45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45">
      <c r="A3" s="7" t="s">
        <v>178</v>
      </c>
      <c r="B3" s="7" t="s">
        <v>2</v>
      </c>
      <c r="C3" s="7" t="s">
        <v>3</v>
      </c>
      <c r="D3" s="7" t="s">
        <v>4</v>
      </c>
      <c r="E3" s="7" t="s">
        <v>179</v>
      </c>
      <c r="F3" s="7" t="s">
        <v>180</v>
      </c>
      <c r="G3" s="7" t="s">
        <v>181</v>
      </c>
      <c r="H3" s="7" t="s">
        <v>182</v>
      </c>
      <c r="I3" s="7" t="s">
        <v>183</v>
      </c>
      <c r="J3" s="7" t="s">
        <v>184</v>
      </c>
      <c r="K3" s="7" t="s">
        <v>185</v>
      </c>
      <c r="L3" s="7" t="s">
        <v>186</v>
      </c>
      <c r="M3" s="7" t="s">
        <v>187</v>
      </c>
      <c r="N3" s="1" t="s">
        <v>188</v>
      </c>
    </row>
    <row r="4" spans="1:14" ht="30" customHeight="1" x14ac:dyDescent="0.45">
      <c r="A4" s="16" t="s">
        <v>63</v>
      </c>
      <c r="B4" s="16" t="s">
        <v>60</v>
      </c>
      <c r="C4" s="16" t="s">
        <v>53</v>
      </c>
      <c r="D4" s="16" t="s">
        <v>61</v>
      </c>
      <c r="E4" s="24">
        <f>일위대가!F9</f>
        <v>0</v>
      </c>
      <c r="F4" s="24">
        <f>일위대가!H9</f>
        <v>11054</v>
      </c>
      <c r="G4" s="24">
        <f>일위대가!J9</f>
        <v>221</v>
      </c>
      <c r="H4" s="24">
        <f t="shared" ref="H4:H22" si="0">E4+F4+G4</f>
        <v>11275</v>
      </c>
      <c r="I4" s="16" t="s">
        <v>62</v>
      </c>
      <c r="J4" s="16" t="s">
        <v>53</v>
      </c>
      <c r="K4" s="16" t="s">
        <v>53</v>
      </c>
      <c r="L4" s="16" t="s">
        <v>53</v>
      </c>
      <c r="M4" s="16" t="s">
        <v>200</v>
      </c>
      <c r="N4" s="1" t="s">
        <v>53</v>
      </c>
    </row>
    <row r="5" spans="1:14" ht="30" customHeight="1" x14ac:dyDescent="0.45">
      <c r="A5" s="16" t="s">
        <v>71</v>
      </c>
      <c r="B5" s="16" t="s">
        <v>67</v>
      </c>
      <c r="C5" s="16" t="s">
        <v>68</v>
      </c>
      <c r="D5" s="16" t="s">
        <v>69</v>
      </c>
      <c r="E5" s="24">
        <f>일위대가!F16</f>
        <v>2281</v>
      </c>
      <c r="F5" s="24">
        <f>일위대가!H16</f>
        <v>228171</v>
      </c>
      <c r="G5" s="24">
        <f>일위대가!J16</f>
        <v>2033</v>
      </c>
      <c r="H5" s="24">
        <f t="shared" si="0"/>
        <v>232485</v>
      </c>
      <c r="I5" s="16" t="s">
        <v>70</v>
      </c>
      <c r="J5" s="16" t="s">
        <v>53</v>
      </c>
      <c r="K5" s="16" t="s">
        <v>53</v>
      </c>
      <c r="L5" s="16" t="s">
        <v>53</v>
      </c>
      <c r="M5" s="16" t="s">
        <v>216</v>
      </c>
      <c r="N5" s="1" t="s">
        <v>53</v>
      </c>
    </row>
    <row r="6" spans="1:14" ht="30" customHeight="1" x14ac:dyDescent="0.45">
      <c r="A6" s="16" t="s">
        <v>80</v>
      </c>
      <c r="B6" s="16" t="s">
        <v>77</v>
      </c>
      <c r="C6" s="16" t="s">
        <v>78</v>
      </c>
      <c r="D6" s="16" t="s">
        <v>61</v>
      </c>
      <c r="E6" s="24">
        <f>일위대가!F24</f>
        <v>106848</v>
      </c>
      <c r="F6" s="24">
        <f>일위대가!H24</f>
        <v>56002</v>
      </c>
      <c r="G6" s="24">
        <f>일위대가!J24</f>
        <v>1120</v>
      </c>
      <c r="H6" s="24">
        <f t="shared" si="0"/>
        <v>163970</v>
      </c>
      <c r="I6" s="16" t="s">
        <v>79</v>
      </c>
      <c r="J6" s="16" t="s">
        <v>53</v>
      </c>
      <c r="K6" s="16" t="s">
        <v>53</v>
      </c>
      <c r="L6" s="16" t="s">
        <v>53</v>
      </c>
      <c r="M6" s="16" t="s">
        <v>231</v>
      </c>
      <c r="N6" s="1" t="s">
        <v>53</v>
      </c>
    </row>
    <row r="7" spans="1:14" ht="30" customHeight="1" x14ac:dyDescent="0.45">
      <c r="A7" s="16" t="s">
        <v>86</v>
      </c>
      <c r="B7" s="16" t="s">
        <v>82</v>
      </c>
      <c r="C7" s="16" t="s">
        <v>83</v>
      </c>
      <c r="D7" s="16" t="s">
        <v>84</v>
      </c>
      <c r="E7" s="24">
        <f>일위대가!F29</f>
        <v>0</v>
      </c>
      <c r="F7" s="24">
        <f>일위대가!H29</f>
        <v>19269</v>
      </c>
      <c r="G7" s="24">
        <f>일위대가!J29</f>
        <v>0</v>
      </c>
      <c r="H7" s="24">
        <f t="shared" si="0"/>
        <v>19269</v>
      </c>
      <c r="I7" s="16" t="s">
        <v>85</v>
      </c>
      <c r="J7" s="16" t="s">
        <v>53</v>
      </c>
      <c r="K7" s="16" t="s">
        <v>53</v>
      </c>
      <c r="L7" s="16" t="s">
        <v>53</v>
      </c>
      <c r="M7" s="16" t="s">
        <v>244</v>
      </c>
      <c r="N7" s="1" t="s">
        <v>53</v>
      </c>
    </row>
    <row r="8" spans="1:14" ht="30" customHeight="1" x14ac:dyDescent="0.45">
      <c r="A8" s="16" t="s">
        <v>110</v>
      </c>
      <c r="B8" s="16" t="s">
        <v>106</v>
      </c>
      <c r="C8" s="16" t="s">
        <v>107</v>
      </c>
      <c r="D8" s="16" t="s">
        <v>108</v>
      </c>
      <c r="E8" s="24">
        <f>일위대가!F33</f>
        <v>0</v>
      </c>
      <c r="F8" s="24">
        <f>일위대가!H33</f>
        <v>0</v>
      </c>
      <c r="G8" s="24">
        <f>일위대가!J33</f>
        <v>91000</v>
      </c>
      <c r="H8" s="24">
        <f t="shared" si="0"/>
        <v>91000</v>
      </c>
      <c r="I8" s="16" t="s">
        <v>109</v>
      </c>
      <c r="J8" s="16" t="s">
        <v>53</v>
      </c>
      <c r="K8" s="16" t="s">
        <v>53</v>
      </c>
      <c r="L8" s="16" t="s">
        <v>53</v>
      </c>
      <c r="M8" s="16" t="s">
        <v>250</v>
      </c>
      <c r="N8" s="1" t="s">
        <v>53</v>
      </c>
    </row>
    <row r="9" spans="1:14" ht="30" customHeight="1" x14ac:dyDescent="0.45">
      <c r="A9" s="16" t="s">
        <v>115</v>
      </c>
      <c r="B9" s="16" t="s">
        <v>112</v>
      </c>
      <c r="C9" s="16" t="s">
        <v>113</v>
      </c>
      <c r="D9" s="16" t="s">
        <v>90</v>
      </c>
      <c r="E9" s="24">
        <f>일위대가!F39</f>
        <v>10321</v>
      </c>
      <c r="F9" s="24">
        <f>일위대가!H39</f>
        <v>25594</v>
      </c>
      <c r="G9" s="24">
        <f>일위대가!J39</f>
        <v>154</v>
      </c>
      <c r="H9" s="24">
        <f t="shared" si="0"/>
        <v>36069</v>
      </c>
      <c r="I9" s="16" t="s">
        <v>114</v>
      </c>
      <c r="J9" s="16" t="s">
        <v>53</v>
      </c>
      <c r="K9" s="16" t="s">
        <v>53</v>
      </c>
      <c r="L9" s="16" t="s">
        <v>53</v>
      </c>
      <c r="M9" s="16" t="s">
        <v>250</v>
      </c>
      <c r="N9" s="1" t="s">
        <v>53</v>
      </c>
    </row>
    <row r="10" spans="1:14" ht="30" customHeight="1" x14ac:dyDescent="0.45">
      <c r="A10" s="16" t="s">
        <v>120</v>
      </c>
      <c r="B10" s="16" t="s">
        <v>117</v>
      </c>
      <c r="C10" s="16" t="s">
        <v>118</v>
      </c>
      <c r="D10" s="16" t="s">
        <v>84</v>
      </c>
      <c r="E10" s="24">
        <f>일위대가!F45</f>
        <v>19829</v>
      </c>
      <c r="F10" s="24">
        <f>일위대가!H45</f>
        <v>37029</v>
      </c>
      <c r="G10" s="24">
        <f>일위대가!J45</f>
        <v>1848</v>
      </c>
      <c r="H10" s="24">
        <f t="shared" si="0"/>
        <v>58706</v>
      </c>
      <c r="I10" s="16" t="s">
        <v>119</v>
      </c>
      <c r="J10" s="16" t="s">
        <v>53</v>
      </c>
      <c r="K10" s="16" t="s">
        <v>53</v>
      </c>
      <c r="L10" s="16" t="s">
        <v>53</v>
      </c>
      <c r="M10" s="16" t="s">
        <v>250</v>
      </c>
      <c r="N10" s="1" t="s">
        <v>53</v>
      </c>
    </row>
    <row r="11" spans="1:14" ht="30" customHeight="1" x14ac:dyDescent="0.45">
      <c r="A11" s="16" t="s">
        <v>124</v>
      </c>
      <c r="B11" s="16" t="s">
        <v>117</v>
      </c>
      <c r="C11" s="16" t="s">
        <v>122</v>
      </c>
      <c r="D11" s="16" t="s">
        <v>84</v>
      </c>
      <c r="E11" s="24">
        <f>일위대가!F51</f>
        <v>13574</v>
      </c>
      <c r="F11" s="24">
        <f>일위대가!H51</f>
        <v>25197</v>
      </c>
      <c r="G11" s="24">
        <f>일위대가!J51</f>
        <v>1257</v>
      </c>
      <c r="H11" s="24">
        <f t="shared" si="0"/>
        <v>40028</v>
      </c>
      <c r="I11" s="16" t="s">
        <v>123</v>
      </c>
      <c r="J11" s="16" t="s">
        <v>53</v>
      </c>
      <c r="K11" s="16" t="s">
        <v>53</v>
      </c>
      <c r="L11" s="16" t="s">
        <v>53</v>
      </c>
      <c r="M11" s="16" t="s">
        <v>250</v>
      </c>
      <c r="N11" s="1" t="s">
        <v>53</v>
      </c>
    </row>
    <row r="12" spans="1:14" ht="30" customHeight="1" x14ac:dyDescent="0.45">
      <c r="A12" s="16" t="s">
        <v>129</v>
      </c>
      <c r="B12" s="16" t="s">
        <v>126</v>
      </c>
      <c r="C12" s="16" t="s">
        <v>127</v>
      </c>
      <c r="D12" s="16" t="s">
        <v>90</v>
      </c>
      <c r="E12" s="24">
        <f>일위대가!F59</f>
        <v>1153</v>
      </c>
      <c r="F12" s="24">
        <f>일위대가!H59</f>
        <v>6504</v>
      </c>
      <c r="G12" s="24">
        <f>일위대가!J59</f>
        <v>277</v>
      </c>
      <c r="H12" s="24">
        <f t="shared" si="0"/>
        <v>7934</v>
      </c>
      <c r="I12" s="16" t="s">
        <v>128</v>
      </c>
      <c r="J12" s="16" t="s">
        <v>53</v>
      </c>
      <c r="K12" s="16" t="s">
        <v>53</v>
      </c>
      <c r="L12" s="16" t="s">
        <v>53</v>
      </c>
      <c r="M12" s="16" t="s">
        <v>250</v>
      </c>
      <c r="N12" s="1" t="s">
        <v>53</v>
      </c>
    </row>
    <row r="13" spans="1:14" ht="30" customHeight="1" x14ac:dyDescent="0.45">
      <c r="A13" s="16" t="s">
        <v>225</v>
      </c>
      <c r="B13" s="16" t="s">
        <v>221</v>
      </c>
      <c r="C13" s="16" t="s">
        <v>222</v>
      </c>
      <c r="D13" s="16" t="s">
        <v>223</v>
      </c>
      <c r="E13" s="24">
        <f>일위대가!F63</f>
        <v>0</v>
      </c>
      <c r="F13" s="24">
        <f>일위대가!H63</f>
        <v>0</v>
      </c>
      <c r="G13" s="24">
        <f>일위대가!J63</f>
        <v>343</v>
      </c>
      <c r="H13" s="24">
        <f t="shared" si="0"/>
        <v>343</v>
      </c>
      <c r="I13" s="16" t="s">
        <v>224</v>
      </c>
      <c r="J13" s="16" t="s">
        <v>53</v>
      </c>
      <c r="K13" s="16" t="s">
        <v>53</v>
      </c>
      <c r="L13" s="16" t="s">
        <v>53</v>
      </c>
      <c r="M13" s="16" t="s">
        <v>310</v>
      </c>
      <c r="N13" s="1" t="s">
        <v>64</v>
      </c>
    </row>
    <row r="14" spans="1:14" ht="30" customHeight="1" x14ac:dyDescent="0.45">
      <c r="A14" s="16" t="s">
        <v>260</v>
      </c>
      <c r="B14" s="16" t="s">
        <v>257</v>
      </c>
      <c r="C14" s="16" t="s">
        <v>258</v>
      </c>
      <c r="D14" s="16" t="s">
        <v>61</v>
      </c>
      <c r="E14" s="24">
        <f>일위대가!F68</f>
        <v>15527</v>
      </c>
      <c r="F14" s="24">
        <f>일위대가!H68</f>
        <v>34461</v>
      </c>
      <c r="G14" s="24">
        <f>일위대가!J68</f>
        <v>344</v>
      </c>
      <c r="H14" s="24">
        <f t="shared" si="0"/>
        <v>50332</v>
      </c>
      <c r="I14" s="16" t="s">
        <v>259</v>
      </c>
      <c r="J14" s="16" t="s">
        <v>53</v>
      </c>
      <c r="K14" s="16" t="s">
        <v>53</v>
      </c>
      <c r="L14" s="16" t="s">
        <v>53</v>
      </c>
      <c r="M14" s="16" t="s">
        <v>315</v>
      </c>
      <c r="N14" s="1" t="s">
        <v>53</v>
      </c>
    </row>
    <row r="15" spans="1:14" ht="30" customHeight="1" x14ac:dyDescent="0.45">
      <c r="A15" s="16" t="s">
        <v>265</v>
      </c>
      <c r="B15" s="16" t="s">
        <v>262</v>
      </c>
      <c r="C15" s="16" t="s">
        <v>263</v>
      </c>
      <c r="D15" s="16" t="s">
        <v>69</v>
      </c>
      <c r="E15" s="24">
        <f>일위대가!F74</f>
        <v>121255</v>
      </c>
      <c r="F15" s="24">
        <f>일위대가!H74</f>
        <v>0</v>
      </c>
      <c r="G15" s="24">
        <f>일위대가!J74</f>
        <v>0</v>
      </c>
      <c r="H15" s="24">
        <f t="shared" si="0"/>
        <v>121255</v>
      </c>
      <c r="I15" s="16" t="s">
        <v>264</v>
      </c>
      <c r="J15" s="16" t="s">
        <v>53</v>
      </c>
      <c r="K15" s="16" t="s">
        <v>53</v>
      </c>
      <c r="L15" s="16" t="s">
        <v>53</v>
      </c>
      <c r="M15" s="16" t="s">
        <v>327</v>
      </c>
      <c r="N15" s="1" t="s">
        <v>53</v>
      </c>
    </row>
    <row r="16" spans="1:14" ht="30" customHeight="1" x14ac:dyDescent="0.45">
      <c r="A16" s="16" t="s">
        <v>270</v>
      </c>
      <c r="B16" s="16" t="s">
        <v>267</v>
      </c>
      <c r="C16" s="16" t="s">
        <v>268</v>
      </c>
      <c r="D16" s="16" t="s">
        <v>69</v>
      </c>
      <c r="E16" s="24">
        <f>일위대가!F79</f>
        <v>0</v>
      </c>
      <c r="F16" s="24">
        <f>일위대가!H79</f>
        <v>373604</v>
      </c>
      <c r="G16" s="24">
        <f>일위대가!J79</f>
        <v>0</v>
      </c>
      <c r="H16" s="24">
        <f t="shared" si="0"/>
        <v>373604</v>
      </c>
      <c r="I16" s="16" t="s">
        <v>269</v>
      </c>
      <c r="J16" s="16" t="s">
        <v>53</v>
      </c>
      <c r="K16" s="16" t="s">
        <v>53</v>
      </c>
      <c r="L16" s="16" t="s">
        <v>53</v>
      </c>
      <c r="M16" s="16" t="s">
        <v>341</v>
      </c>
      <c r="N16" s="1" t="s">
        <v>53</v>
      </c>
    </row>
    <row r="17" spans="1:14" ht="30" customHeight="1" x14ac:dyDescent="0.45">
      <c r="A17" s="16" t="s">
        <v>319</v>
      </c>
      <c r="B17" s="16" t="s">
        <v>316</v>
      </c>
      <c r="C17" s="16" t="s">
        <v>317</v>
      </c>
      <c r="D17" s="16" t="s">
        <v>61</v>
      </c>
      <c r="E17" s="24">
        <f>일위대가!F86</f>
        <v>15527</v>
      </c>
      <c r="F17" s="24">
        <f>일위대가!H86</f>
        <v>0</v>
      </c>
      <c r="G17" s="24">
        <f>일위대가!J86</f>
        <v>0</v>
      </c>
      <c r="H17" s="24">
        <f t="shared" si="0"/>
        <v>15527</v>
      </c>
      <c r="I17" s="16" t="s">
        <v>318</v>
      </c>
      <c r="J17" s="16" t="s">
        <v>53</v>
      </c>
      <c r="K17" s="16" t="s">
        <v>53</v>
      </c>
      <c r="L17" s="16" t="s">
        <v>53</v>
      </c>
      <c r="M17" s="16" t="s">
        <v>315</v>
      </c>
      <c r="N17" s="1" t="s">
        <v>53</v>
      </c>
    </row>
    <row r="18" spans="1:14" ht="30" customHeight="1" x14ac:dyDescent="0.45">
      <c r="A18" s="16" t="s">
        <v>324</v>
      </c>
      <c r="B18" s="16" t="s">
        <v>321</v>
      </c>
      <c r="C18" s="16" t="s">
        <v>322</v>
      </c>
      <c r="D18" s="16" t="s">
        <v>61</v>
      </c>
      <c r="E18" s="24">
        <f>일위대가!F92</f>
        <v>0</v>
      </c>
      <c r="F18" s="24">
        <f>일위대가!H92</f>
        <v>34461</v>
      </c>
      <c r="G18" s="24">
        <f>일위대가!J92</f>
        <v>344</v>
      </c>
      <c r="H18" s="24">
        <f t="shared" si="0"/>
        <v>34805</v>
      </c>
      <c r="I18" s="16" t="s">
        <v>323</v>
      </c>
      <c r="J18" s="16" t="s">
        <v>53</v>
      </c>
      <c r="K18" s="16" t="s">
        <v>53</v>
      </c>
      <c r="L18" s="16" t="s">
        <v>53</v>
      </c>
      <c r="M18" s="16" t="s">
        <v>315</v>
      </c>
      <c r="N18" s="1" t="s">
        <v>53</v>
      </c>
    </row>
    <row r="19" spans="1:14" ht="30" customHeight="1" x14ac:dyDescent="0.45">
      <c r="A19" s="16" t="s">
        <v>280</v>
      </c>
      <c r="B19" s="16" t="s">
        <v>277</v>
      </c>
      <c r="C19" s="16" t="s">
        <v>278</v>
      </c>
      <c r="D19" s="16" t="s">
        <v>171</v>
      </c>
      <c r="E19" s="24">
        <f>일위대가!F101</f>
        <v>159</v>
      </c>
      <c r="F19" s="24">
        <f>일위대가!H101</f>
        <v>5328</v>
      </c>
      <c r="G19" s="24">
        <f>일위대가!J101</f>
        <v>266</v>
      </c>
      <c r="H19" s="24">
        <f t="shared" si="0"/>
        <v>5753</v>
      </c>
      <c r="I19" s="16" t="s">
        <v>279</v>
      </c>
      <c r="J19" s="16" t="s">
        <v>53</v>
      </c>
      <c r="K19" s="16" t="s">
        <v>53</v>
      </c>
      <c r="L19" s="16" t="s">
        <v>53</v>
      </c>
      <c r="M19" s="16" t="s">
        <v>370</v>
      </c>
      <c r="N19" s="1" t="s">
        <v>53</v>
      </c>
    </row>
    <row r="20" spans="1:14" ht="30" customHeight="1" x14ac:dyDescent="0.45">
      <c r="A20" s="16" t="s">
        <v>307</v>
      </c>
      <c r="B20" s="16" t="s">
        <v>303</v>
      </c>
      <c r="C20" s="16" t="s">
        <v>304</v>
      </c>
      <c r="D20" s="16" t="s">
        <v>305</v>
      </c>
      <c r="E20" s="24">
        <f>일위대가!F106</f>
        <v>164</v>
      </c>
      <c r="F20" s="24">
        <f>일위대가!H106</f>
        <v>2311</v>
      </c>
      <c r="G20" s="24">
        <f>일위대가!J106</f>
        <v>92</v>
      </c>
      <c r="H20" s="24">
        <f t="shared" si="0"/>
        <v>2567</v>
      </c>
      <c r="I20" s="16" t="s">
        <v>306</v>
      </c>
      <c r="J20" s="16" t="s">
        <v>53</v>
      </c>
      <c r="K20" s="16" t="s">
        <v>53</v>
      </c>
      <c r="L20" s="16" t="s">
        <v>53</v>
      </c>
      <c r="M20" s="16" t="s">
        <v>384</v>
      </c>
      <c r="N20" s="1" t="s">
        <v>53</v>
      </c>
    </row>
    <row r="21" spans="1:14" ht="30" customHeight="1" x14ac:dyDescent="0.45">
      <c r="A21" s="16" t="s">
        <v>391</v>
      </c>
      <c r="B21" s="16" t="s">
        <v>388</v>
      </c>
      <c r="C21" s="16" t="s">
        <v>389</v>
      </c>
      <c r="D21" s="16" t="s">
        <v>305</v>
      </c>
      <c r="E21" s="24">
        <f>일위대가!F111</f>
        <v>0</v>
      </c>
      <c r="F21" s="24">
        <f>일위대가!H111</f>
        <v>2311</v>
      </c>
      <c r="G21" s="24">
        <f>일위대가!J111</f>
        <v>92</v>
      </c>
      <c r="H21" s="24">
        <f t="shared" si="0"/>
        <v>2403</v>
      </c>
      <c r="I21" s="16" t="s">
        <v>390</v>
      </c>
      <c r="J21" s="16" t="s">
        <v>53</v>
      </c>
      <c r="K21" s="16" t="s">
        <v>53</v>
      </c>
      <c r="L21" s="16" t="s">
        <v>53</v>
      </c>
      <c r="M21" s="16" t="s">
        <v>384</v>
      </c>
      <c r="N21" s="1" t="s">
        <v>53</v>
      </c>
    </row>
    <row r="22" spans="1:14" ht="30" customHeight="1" x14ac:dyDescent="0.45">
      <c r="A22" s="16" t="s">
        <v>400</v>
      </c>
      <c r="B22" s="16" t="s">
        <v>401</v>
      </c>
      <c r="C22" s="16" t="s">
        <v>402</v>
      </c>
      <c r="D22" s="16" t="s">
        <v>223</v>
      </c>
      <c r="E22" s="24">
        <f>일위대가!F118</f>
        <v>37269</v>
      </c>
      <c r="F22" s="24">
        <f>일위대가!H118</f>
        <v>59020</v>
      </c>
      <c r="G22" s="24">
        <f>일위대가!J118</f>
        <v>10613</v>
      </c>
      <c r="H22" s="24">
        <f t="shared" si="0"/>
        <v>106902</v>
      </c>
      <c r="I22" s="16" t="s">
        <v>403</v>
      </c>
      <c r="J22" s="16" t="s">
        <v>53</v>
      </c>
      <c r="K22" s="16" t="s">
        <v>404</v>
      </c>
      <c r="L22" s="16" t="s">
        <v>53</v>
      </c>
      <c r="M22" s="16" t="s">
        <v>405</v>
      </c>
      <c r="N22" s="1" t="s">
        <v>64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6EEDA-06CC-4389-84BB-ACCEE5217869}">
  <sheetPr>
    <pageSetUpPr fitToPage="1"/>
  </sheetPr>
  <dimension ref="A1:AZ118"/>
  <sheetViews>
    <sheetView workbookViewId="0"/>
  </sheetViews>
  <sheetFormatPr defaultRowHeight="17" x14ac:dyDescent="0.45"/>
  <cols>
    <col min="1" max="2" width="30.58203125" customWidth="1"/>
    <col min="3" max="3" width="4.58203125" customWidth="1"/>
    <col min="4" max="4" width="8.58203125" customWidth="1"/>
    <col min="5" max="12" width="13.58203125" customWidth="1"/>
    <col min="13" max="13" width="12.58203125" customWidth="1"/>
    <col min="14" max="47" width="2.58203125" hidden="1" customWidth="1"/>
    <col min="48" max="48" width="1.58203125" hidden="1" customWidth="1"/>
    <col min="49" max="49" width="24.58203125" hidden="1" customWidth="1"/>
    <col min="50" max="51" width="2.58203125" hidden="1" customWidth="1"/>
    <col min="52" max="52" width="1.58203125" hidden="1" customWidth="1"/>
  </cols>
  <sheetData>
    <row r="1" spans="1:52" ht="30" customHeight="1" x14ac:dyDescent="0.45">
      <c r="A1" s="2" t="s">
        <v>189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52" ht="30" customHeight="1" x14ac:dyDescent="0.4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52" ht="30" customHeight="1" x14ac:dyDescent="0.45">
      <c r="A3" s="47" t="s">
        <v>2</v>
      </c>
      <c r="B3" s="47" t="s">
        <v>3</v>
      </c>
      <c r="C3" s="47" t="s">
        <v>4</v>
      </c>
      <c r="D3" s="47" t="s">
        <v>5</v>
      </c>
      <c r="E3" s="47" t="s">
        <v>6</v>
      </c>
      <c r="F3" s="47"/>
      <c r="G3" s="47" t="s">
        <v>9</v>
      </c>
      <c r="H3" s="47"/>
      <c r="I3" s="47" t="s">
        <v>10</v>
      </c>
      <c r="J3" s="47"/>
      <c r="K3" s="47" t="s">
        <v>11</v>
      </c>
      <c r="L3" s="47"/>
      <c r="M3" s="47" t="s">
        <v>12</v>
      </c>
      <c r="N3" s="44" t="s">
        <v>190</v>
      </c>
      <c r="O3" s="44" t="s">
        <v>21</v>
      </c>
      <c r="P3" s="44" t="s">
        <v>23</v>
      </c>
      <c r="Q3" s="44" t="s">
        <v>24</v>
      </c>
      <c r="R3" s="44" t="s">
        <v>25</v>
      </c>
      <c r="S3" s="44" t="s">
        <v>26</v>
      </c>
      <c r="T3" s="44" t="s">
        <v>27</v>
      </c>
      <c r="U3" s="44" t="s">
        <v>28</v>
      </c>
      <c r="V3" s="44" t="s">
        <v>29</v>
      </c>
      <c r="W3" s="44" t="s">
        <v>30</v>
      </c>
      <c r="X3" s="44" t="s">
        <v>31</v>
      </c>
      <c r="Y3" s="44" t="s">
        <v>32</v>
      </c>
      <c r="Z3" s="44" t="s">
        <v>33</v>
      </c>
      <c r="AA3" s="44" t="s">
        <v>34</v>
      </c>
      <c r="AB3" s="44" t="s">
        <v>35</v>
      </c>
      <c r="AC3" s="44" t="s">
        <v>36</v>
      </c>
      <c r="AD3" s="44" t="s">
        <v>37</v>
      </c>
      <c r="AE3" s="44" t="s">
        <v>38</v>
      </c>
      <c r="AF3" s="44" t="s">
        <v>39</v>
      </c>
      <c r="AG3" s="44" t="s">
        <v>40</v>
      </c>
      <c r="AH3" s="44" t="s">
        <v>41</v>
      </c>
      <c r="AI3" s="44" t="s">
        <v>42</v>
      </c>
      <c r="AJ3" s="44" t="s">
        <v>43</v>
      </c>
      <c r="AK3" s="44" t="s">
        <v>44</v>
      </c>
      <c r="AL3" s="44" t="s">
        <v>45</v>
      </c>
      <c r="AM3" s="44" t="s">
        <v>46</v>
      </c>
      <c r="AN3" s="44" t="s">
        <v>47</v>
      </c>
      <c r="AO3" s="44" t="s">
        <v>48</v>
      </c>
      <c r="AP3" s="44" t="s">
        <v>191</v>
      </c>
      <c r="AQ3" s="44" t="s">
        <v>192</v>
      </c>
      <c r="AR3" s="44" t="s">
        <v>193</v>
      </c>
      <c r="AS3" s="44" t="s">
        <v>194</v>
      </c>
      <c r="AT3" s="44" t="s">
        <v>195</v>
      </c>
      <c r="AU3" s="44" t="s">
        <v>196</v>
      </c>
      <c r="AV3" s="44" t="s">
        <v>49</v>
      </c>
      <c r="AW3" s="44" t="s">
        <v>197</v>
      </c>
      <c r="AX3" s="1" t="s">
        <v>188</v>
      </c>
      <c r="AY3" s="1" t="s">
        <v>22</v>
      </c>
      <c r="AZ3" s="1" t="s">
        <v>198</v>
      </c>
    </row>
    <row r="4" spans="1:52" ht="30" customHeight="1" x14ac:dyDescent="0.45">
      <c r="A4" s="47"/>
      <c r="B4" s="47"/>
      <c r="C4" s="47"/>
      <c r="D4" s="47"/>
      <c r="E4" s="7" t="s">
        <v>7</v>
      </c>
      <c r="F4" s="7" t="s">
        <v>8</v>
      </c>
      <c r="G4" s="7" t="s">
        <v>7</v>
      </c>
      <c r="H4" s="7" t="s">
        <v>8</v>
      </c>
      <c r="I4" s="7" t="s">
        <v>7</v>
      </c>
      <c r="J4" s="7" t="s">
        <v>8</v>
      </c>
      <c r="K4" s="7" t="s">
        <v>7</v>
      </c>
      <c r="L4" s="7" t="s">
        <v>8</v>
      </c>
      <c r="M4" s="47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  <c r="AN4" s="44"/>
      <c r="AO4" s="44"/>
      <c r="AP4" s="44"/>
      <c r="AQ4" s="44"/>
      <c r="AR4" s="44"/>
      <c r="AS4" s="44"/>
      <c r="AT4" s="44"/>
      <c r="AU4" s="44"/>
      <c r="AV4" s="44"/>
      <c r="AW4" s="44"/>
    </row>
    <row r="5" spans="1:52" ht="30" customHeight="1" x14ac:dyDescent="0.45">
      <c r="A5" s="17" t="s">
        <v>199</v>
      </c>
      <c r="B5" s="18"/>
      <c r="C5" s="18"/>
      <c r="D5" s="18"/>
      <c r="E5" s="22"/>
      <c r="F5" s="25"/>
      <c r="G5" s="22"/>
      <c r="H5" s="25"/>
      <c r="I5" s="22"/>
      <c r="J5" s="25"/>
      <c r="K5" s="22"/>
      <c r="L5" s="25"/>
      <c r="M5" s="19"/>
      <c r="N5" s="1" t="s">
        <v>63</v>
      </c>
    </row>
    <row r="6" spans="1:52" ht="30" customHeight="1" x14ac:dyDescent="0.45">
      <c r="A6" s="20" t="s">
        <v>201</v>
      </c>
      <c r="B6" s="20" t="s">
        <v>202</v>
      </c>
      <c r="C6" s="20" t="s">
        <v>203</v>
      </c>
      <c r="D6" s="21">
        <v>3.3000000000000002E-2</v>
      </c>
      <c r="E6" s="23">
        <f>단가대비표!O34</f>
        <v>0</v>
      </c>
      <c r="F6" s="26">
        <f>TRUNC(E6*D6,1)</f>
        <v>0</v>
      </c>
      <c r="G6" s="23">
        <f>단가대비표!P34</f>
        <v>277642</v>
      </c>
      <c r="H6" s="26">
        <f>TRUNC(G6*D6,1)</f>
        <v>9162.1</v>
      </c>
      <c r="I6" s="23">
        <f>단가대비표!V34</f>
        <v>0</v>
      </c>
      <c r="J6" s="26">
        <f>TRUNC(I6*D6,1)</f>
        <v>0</v>
      </c>
      <c r="K6" s="23">
        <f t="shared" ref="K6:L8" si="0">TRUNC(E6+G6+I6,1)</f>
        <v>277642</v>
      </c>
      <c r="L6" s="26">
        <f t="shared" si="0"/>
        <v>9162.1</v>
      </c>
      <c r="M6" s="20" t="s">
        <v>53</v>
      </c>
      <c r="N6" s="1" t="s">
        <v>63</v>
      </c>
      <c r="O6" s="1" t="s">
        <v>204</v>
      </c>
      <c r="P6" s="1" t="s">
        <v>65</v>
      </c>
      <c r="Q6" s="1" t="s">
        <v>65</v>
      </c>
      <c r="R6" s="1" t="s">
        <v>64</v>
      </c>
      <c r="V6">
        <v>1</v>
      </c>
      <c r="AV6" s="1" t="s">
        <v>53</v>
      </c>
      <c r="AW6" s="1" t="s">
        <v>205</v>
      </c>
      <c r="AX6" s="1" t="s">
        <v>53</v>
      </c>
      <c r="AY6" s="1" t="s">
        <v>53</v>
      </c>
      <c r="AZ6" s="1" t="s">
        <v>53</v>
      </c>
    </row>
    <row r="7" spans="1:52" ht="30" customHeight="1" x14ac:dyDescent="0.45">
      <c r="A7" s="20" t="s">
        <v>206</v>
      </c>
      <c r="B7" s="20" t="s">
        <v>202</v>
      </c>
      <c r="C7" s="20" t="s">
        <v>203</v>
      </c>
      <c r="D7" s="21">
        <v>1.0999999999999999E-2</v>
      </c>
      <c r="E7" s="23">
        <f>단가대비표!O27</f>
        <v>0</v>
      </c>
      <c r="F7" s="26">
        <f>TRUNC(E7*D7,1)</f>
        <v>0</v>
      </c>
      <c r="G7" s="23">
        <f>단가대비표!P27</f>
        <v>172068</v>
      </c>
      <c r="H7" s="26">
        <f>TRUNC(G7*D7,1)</f>
        <v>1892.7</v>
      </c>
      <c r="I7" s="23">
        <f>단가대비표!V27</f>
        <v>0</v>
      </c>
      <c r="J7" s="26">
        <f>TRUNC(I7*D7,1)</f>
        <v>0</v>
      </c>
      <c r="K7" s="23">
        <f t="shared" si="0"/>
        <v>172068</v>
      </c>
      <c r="L7" s="26">
        <f t="shared" si="0"/>
        <v>1892.7</v>
      </c>
      <c r="M7" s="20" t="s">
        <v>53</v>
      </c>
      <c r="N7" s="1" t="s">
        <v>63</v>
      </c>
      <c r="O7" s="1" t="s">
        <v>207</v>
      </c>
      <c r="P7" s="1" t="s">
        <v>65</v>
      </c>
      <c r="Q7" s="1" t="s">
        <v>65</v>
      </c>
      <c r="R7" s="1" t="s">
        <v>64</v>
      </c>
      <c r="V7">
        <v>1</v>
      </c>
      <c r="AV7" s="1" t="s">
        <v>53</v>
      </c>
      <c r="AW7" s="1" t="s">
        <v>208</v>
      </c>
      <c r="AX7" s="1" t="s">
        <v>53</v>
      </c>
      <c r="AY7" s="1" t="s">
        <v>53</v>
      </c>
      <c r="AZ7" s="1" t="s">
        <v>53</v>
      </c>
    </row>
    <row r="8" spans="1:52" ht="30" customHeight="1" x14ac:dyDescent="0.45">
      <c r="A8" s="20" t="s">
        <v>209</v>
      </c>
      <c r="B8" s="20" t="s">
        <v>210</v>
      </c>
      <c r="C8" s="20" t="s">
        <v>211</v>
      </c>
      <c r="D8" s="21">
        <v>1</v>
      </c>
      <c r="E8" s="23">
        <v>0</v>
      </c>
      <c r="F8" s="26">
        <f>TRUNC(E8*D8,1)</f>
        <v>0</v>
      </c>
      <c r="G8" s="23">
        <v>0</v>
      </c>
      <c r="H8" s="26">
        <f>TRUNC(G8*D8,1)</f>
        <v>0</v>
      </c>
      <c r="I8" s="23">
        <f>TRUNC(SUMIF(V6:V8, RIGHTB(O8, 1), H6:H8)*U8, 2)</f>
        <v>221.09</v>
      </c>
      <c r="J8" s="26">
        <f>TRUNC(I8*D8,1)</f>
        <v>221</v>
      </c>
      <c r="K8" s="23">
        <f t="shared" si="0"/>
        <v>221</v>
      </c>
      <c r="L8" s="26">
        <f t="shared" si="0"/>
        <v>221</v>
      </c>
      <c r="M8" s="20" t="s">
        <v>53</v>
      </c>
      <c r="N8" s="1" t="s">
        <v>63</v>
      </c>
      <c r="O8" s="1" t="s">
        <v>212</v>
      </c>
      <c r="P8" s="1" t="s">
        <v>65</v>
      </c>
      <c r="Q8" s="1" t="s">
        <v>65</v>
      </c>
      <c r="R8" s="1" t="s">
        <v>65</v>
      </c>
      <c r="S8">
        <v>1</v>
      </c>
      <c r="T8">
        <v>2</v>
      </c>
      <c r="U8">
        <v>0.02</v>
      </c>
      <c r="AV8" s="1" t="s">
        <v>53</v>
      </c>
      <c r="AW8" s="1" t="s">
        <v>213</v>
      </c>
      <c r="AX8" s="1" t="s">
        <v>53</v>
      </c>
      <c r="AY8" s="1" t="s">
        <v>53</v>
      </c>
      <c r="AZ8" s="1" t="s">
        <v>53</v>
      </c>
    </row>
    <row r="9" spans="1:52" ht="30" customHeight="1" x14ac:dyDescent="0.45">
      <c r="A9" s="20" t="s">
        <v>214</v>
      </c>
      <c r="B9" s="20" t="s">
        <v>53</v>
      </c>
      <c r="C9" s="20" t="s">
        <v>53</v>
      </c>
      <c r="D9" s="21"/>
      <c r="E9" s="23"/>
      <c r="F9" s="26">
        <f>TRUNC(SUMIF(N6:N8, N5, F6:F8),0)</f>
        <v>0</v>
      </c>
      <c r="G9" s="23"/>
      <c r="H9" s="26">
        <f>TRUNC(SUMIF(N6:N8, N5, H6:H8),0)</f>
        <v>11054</v>
      </c>
      <c r="I9" s="23"/>
      <c r="J9" s="26">
        <f>TRUNC(SUMIF(N6:N8, N5, J6:J8),0)</f>
        <v>221</v>
      </c>
      <c r="K9" s="23"/>
      <c r="L9" s="26">
        <f>F9+H9+J9</f>
        <v>11275</v>
      </c>
      <c r="M9" s="20" t="s">
        <v>53</v>
      </c>
      <c r="N9" s="1" t="s">
        <v>74</v>
      </c>
      <c r="O9" s="1" t="s">
        <v>74</v>
      </c>
      <c r="P9" s="1" t="s">
        <v>53</v>
      </c>
      <c r="Q9" s="1" t="s">
        <v>53</v>
      </c>
      <c r="R9" s="1" t="s">
        <v>53</v>
      </c>
      <c r="AV9" s="1" t="s">
        <v>53</v>
      </c>
      <c r="AW9" s="1" t="s">
        <v>53</v>
      </c>
      <c r="AX9" s="1" t="s">
        <v>53</v>
      </c>
      <c r="AY9" s="1" t="s">
        <v>53</v>
      </c>
      <c r="AZ9" s="1" t="s">
        <v>53</v>
      </c>
    </row>
    <row r="10" spans="1:52" ht="30" customHeight="1" x14ac:dyDescent="0.45">
      <c r="A10" s="21"/>
      <c r="B10" s="21"/>
      <c r="C10" s="21"/>
      <c r="D10" s="21"/>
      <c r="E10" s="23"/>
      <c r="F10" s="26"/>
      <c r="G10" s="23"/>
      <c r="H10" s="26"/>
      <c r="I10" s="23"/>
      <c r="J10" s="26"/>
      <c r="K10" s="23"/>
      <c r="L10" s="26"/>
      <c r="M10" s="21"/>
    </row>
    <row r="11" spans="1:52" ht="30" customHeight="1" x14ac:dyDescent="0.45">
      <c r="A11" s="17" t="s">
        <v>215</v>
      </c>
      <c r="B11" s="18"/>
      <c r="C11" s="18"/>
      <c r="D11" s="18"/>
      <c r="E11" s="22"/>
      <c r="F11" s="25"/>
      <c r="G11" s="22"/>
      <c r="H11" s="25"/>
      <c r="I11" s="22"/>
      <c r="J11" s="25"/>
      <c r="K11" s="22"/>
      <c r="L11" s="25"/>
      <c r="M11" s="19"/>
      <c r="N11" s="1" t="s">
        <v>71</v>
      </c>
    </row>
    <row r="12" spans="1:52" ht="30" customHeight="1" x14ac:dyDescent="0.45">
      <c r="A12" s="20" t="s">
        <v>217</v>
      </c>
      <c r="B12" s="20" t="s">
        <v>202</v>
      </c>
      <c r="C12" s="20" t="s">
        <v>203</v>
      </c>
      <c r="D12" s="21">
        <v>0.74</v>
      </c>
      <c r="E12" s="23">
        <f>단가대비표!O33</f>
        <v>0</v>
      </c>
      <c r="F12" s="26">
        <f>TRUNC(E12*D12,1)</f>
        <v>0</v>
      </c>
      <c r="G12" s="23">
        <f>단가대비표!P33</f>
        <v>222306</v>
      </c>
      <c r="H12" s="26">
        <f>TRUNC(G12*D12,1)</f>
        <v>164506.4</v>
      </c>
      <c r="I12" s="23">
        <f>단가대비표!V33</f>
        <v>0</v>
      </c>
      <c r="J12" s="26">
        <f>TRUNC(I12*D12,1)</f>
        <v>0</v>
      </c>
      <c r="K12" s="23">
        <f t="shared" ref="K12:L15" si="1">TRUNC(E12+G12+I12,1)</f>
        <v>222306</v>
      </c>
      <c r="L12" s="26">
        <f t="shared" si="1"/>
        <v>164506.4</v>
      </c>
      <c r="M12" s="20" t="s">
        <v>53</v>
      </c>
      <c r="N12" s="1" t="s">
        <v>71</v>
      </c>
      <c r="O12" s="1" t="s">
        <v>218</v>
      </c>
      <c r="P12" s="1" t="s">
        <v>65</v>
      </c>
      <c r="Q12" s="1" t="s">
        <v>65</v>
      </c>
      <c r="R12" s="1" t="s">
        <v>64</v>
      </c>
      <c r="V12">
        <v>1</v>
      </c>
      <c r="AV12" s="1" t="s">
        <v>53</v>
      </c>
      <c r="AW12" s="1" t="s">
        <v>219</v>
      </c>
      <c r="AX12" s="1" t="s">
        <v>53</v>
      </c>
      <c r="AY12" s="1" t="s">
        <v>53</v>
      </c>
      <c r="AZ12" s="1" t="s">
        <v>53</v>
      </c>
    </row>
    <row r="13" spans="1:52" ht="30" customHeight="1" x14ac:dyDescent="0.45">
      <c r="A13" s="20" t="s">
        <v>206</v>
      </c>
      <c r="B13" s="20" t="s">
        <v>202</v>
      </c>
      <c r="C13" s="20" t="s">
        <v>203</v>
      </c>
      <c r="D13" s="21">
        <v>0.37</v>
      </c>
      <c r="E13" s="23">
        <f>단가대비표!O27</f>
        <v>0</v>
      </c>
      <c r="F13" s="26">
        <f>TRUNC(E13*D13,1)</f>
        <v>0</v>
      </c>
      <c r="G13" s="23">
        <f>단가대비표!P27</f>
        <v>172068</v>
      </c>
      <c r="H13" s="26">
        <f>TRUNC(G13*D13,1)</f>
        <v>63665.1</v>
      </c>
      <c r="I13" s="23">
        <f>단가대비표!V27</f>
        <v>0</v>
      </c>
      <c r="J13" s="26">
        <f>TRUNC(I13*D13,1)</f>
        <v>0</v>
      </c>
      <c r="K13" s="23">
        <f t="shared" si="1"/>
        <v>172068</v>
      </c>
      <c r="L13" s="26">
        <f t="shared" si="1"/>
        <v>63665.1</v>
      </c>
      <c r="M13" s="20" t="s">
        <v>53</v>
      </c>
      <c r="N13" s="1" t="s">
        <v>71</v>
      </c>
      <c r="O13" s="1" t="s">
        <v>207</v>
      </c>
      <c r="P13" s="1" t="s">
        <v>65</v>
      </c>
      <c r="Q13" s="1" t="s">
        <v>65</v>
      </c>
      <c r="R13" s="1" t="s">
        <v>64</v>
      </c>
      <c r="V13">
        <v>1</v>
      </c>
      <c r="AV13" s="1" t="s">
        <v>53</v>
      </c>
      <c r="AW13" s="1" t="s">
        <v>220</v>
      </c>
      <c r="AX13" s="1" t="s">
        <v>53</v>
      </c>
      <c r="AY13" s="1" t="s">
        <v>53</v>
      </c>
      <c r="AZ13" s="1" t="s">
        <v>53</v>
      </c>
    </row>
    <row r="14" spans="1:52" ht="30" customHeight="1" x14ac:dyDescent="0.45">
      <c r="A14" s="20" t="s">
        <v>221</v>
      </c>
      <c r="B14" s="20" t="s">
        <v>222</v>
      </c>
      <c r="C14" s="20" t="s">
        <v>223</v>
      </c>
      <c r="D14" s="21">
        <v>5.93</v>
      </c>
      <c r="E14" s="23">
        <f>일위대가목록!E13</f>
        <v>0</v>
      </c>
      <c r="F14" s="26">
        <f>TRUNC(E14*D14,1)</f>
        <v>0</v>
      </c>
      <c r="G14" s="23">
        <f>일위대가목록!F13</f>
        <v>0</v>
      </c>
      <c r="H14" s="26">
        <f>TRUNC(G14*D14,1)</f>
        <v>0</v>
      </c>
      <c r="I14" s="23">
        <f>일위대가목록!G13</f>
        <v>343</v>
      </c>
      <c r="J14" s="26">
        <f>TRUNC(I14*D14,1)</f>
        <v>2033.9</v>
      </c>
      <c r="K14" s="23">
        <f t="shared" si="1"/>
        <v>343</v>
      </c>
      <c r="L14" s="26">
        <f t="shared" si="1"/>
        <v>2033.9</v>
      </c>
      <c r="M14" s="20" t="s">
        <v>224</v>
      </c>
      <c r="N14" s="1" t="s">
        <v>71</v>
      </c>
      <c r="O14" s="1" t="s">
        <v>225</v>
      </c>
      <c r="P14" s="1" t="s">
        <v>64</v>
      </c>
      <c r="Q14" s="1" t="s">
        <v>65</v>
      </c>
      <c r="R14" s="1" t="s">
        <v>65</v>
      </c>
      <c r="AV14" s="1" t="s">
        <v>53</v>
      </c>
      <c r="AW14" s="1" t="s">
        <v>226</v>
      </c>
      <c r="AX14" s="1" t="s">
        <v>53</v>
      </c>
      <c r="AY14" s="1" t="s">
        <v>53</v>
      </c>
      <c r="AZ14" s="1" t="s">
        <v>53</v>
      </c>
    </row>
    <row r="15" spans="1:52" ht="30" customHeight="1" x14ac:dyDescent="0.45">
      <c r="A15" s="20" t="s">
        <v>227</v>
      </c>
      <c r="B15" s="20" t="s">
        <v>228</v>
      </c>
      <c r="C15" s="20" t="s">
        <v>211</v>
      </c>
      <c r="D15" s="21">
        <v>1</v>
      </c>
      <c r="E15" s="23">
        <f>TRUNC(SUMIF(V12:V15, RIGHTB(O15, 1), H12:H15)*U15, 2)</f>
        <v>2281.71</v>
      </c>
      <c r="F15" s="26">
        <f>TRUNC(E15*D15,1)</f>
        <v>2281.6999999999998</v>
      </c>
      <c r="G15" s="23">
        <v>0</v>
      </c>
      <c r="H15" s="26">
        <f>TRUNC(G15*D15,1)</f>
        <v>0</v>
      </c>
      <c r="I15" s="23">
        <v>0</v>
      </c>
      <c r="J15" s="26">
        <f>TRUNC(I15*D15,1)</f>
        <v>0</v>
      </c>
      <c r="K15" s="23">
        <f t="shared" si="1"/>
        <v>2281.6999999999998</v>
      </c>
      <c r="L15" s="26">
        <f t="shared" si="1"/>
        <v>2281.6999999999998</v>
      </c>
      <c r="M15" s="20" t="s">
        <v>53</v>
      </c>
      <c r="N15" s="1" t="s">
        <v>71</v>
      </c>
      <c r="O15" s="1" t="s">
        <v>212</v>
      </c>
      <c r="P15" s="1" t="s">
        <v>65</v>
      </c>
      <c r="Q15" s="1" t="s">
        <v>65</v>
      </c>
      <c r="R15" s="1" t="s">
        <v>65</v>
      </c>
      <c r="S15">
        <v>1</v>
      </c>
      <c r="T15">
        <v>0</v>
      </c>
      <c r="U15">
        <v>0.01</v>
      </c>
      <c r="AV15" s="1" t="s">
        <v>53</v>
      </c>
      <c r="AW15" s="1" t="s">
        <v>229</v>
      </c>
      <c r="AX15" s="1" t="s">
        <v>53</v>
      </c>
      <c r="AY15" s="1" t="s">
        <v>53</v>
      </c>
      <c r="AZ15" s="1" t="s">
        <v>53</v>
      </c>
    </row>
    <row r="16" spans="1:52" ht="30" customHeight="1" x14ac:dyDescent="0.45">
      <c r="A16" s="20" t="s">
        <v>214</v>
      </c>
      <c r="B16" s="20" t="s">
        <v>53</v>
      </c>
      <c r="C16" s="20" t="s">
        <v>53</v>
      </c>
      <c r="D16" s="21"/>
      <c r="E16" s="23"/>
      <c r="F16" s="26">
        <f>TRUNC(SUMIF(N12:N15, N11, F12:F15),0)</f>
        <v>2281</v>
      </c>
      <c r="G16" s="23"/>
      <c r="H16" s="26">
        <f>TRUNC(SUMIF(N12:N15, N11, H12:H15),0)</f>
        <v>228171</v>
      </c>
      <c r="I16" s="23"/>
      <c r="J16" s="26">
        <f>TRUNC(SUMIF(N12:N15, N11, J12:J15),0)</f>
        <v>2033</v>
      </c>
      <c r="K16" s="23"/>
      <c r="L16" s="26">
        <f>F16+H16+J16</f>
        <v>232485</v>
      </c>
      <c r="M16" s="20" t="s">
        <v>53</v>
      </c>
      <c r="N16" s="1" t="s">
        <v>74</v>
      </c>
      <c r="O16" s="1" t="s">
        <v>74</v>
      </c>
      <c r="P16" s="1" t="s">
        <v>53</v>
      </c>
      <c r="Q16" s="1" t="s">
        <v>53</v>
      </c>
      <c r="R16" s="1" t="s">
        <v>53</v>
      </c>
      <c r="AV16" s="1" t="s">
        <v>53</v>
      </c>
      <c r="AW16" s="1" t="s">
        <v>53</v>
      </c>
      <c r="AX16" s="1" t="s">
        <v>53</v>
      </c>
      <c r="AY16" s="1" t="s">
        <v>53</v>
      </c>
      <c r="AZ16" s="1" t="s">
        <v>53</v>
      </c>
    </row>
    <row r="17" spans="1:52" ht="30" customHeight="1" x14ac:dyDescent="0.45">
      <c r="A17" s="21"/>
      <c r="B17" s="21"/>
      <c r="C17" s="21"/>
      <c r="D17" s="21"/>
      <c r="E17" s="23"/>
      <c r="F17" s="26"/>
      <c r="G17" s="23"/>
      <c r="H17" s="26"/>
      <c r="I17" s="23"/>
      <c r="J17" s="26"/>
      <c r="K17" s="23"/>
      <c r="L17" s="26"/>
      <c r="M17" s="21"/>
    </row>
    <row r="18" spans="1:52" ht="30" customHeight="1" x14ac:dyDescent="0.45">
      <c r="A18" s="17" t="s">
        <v>230</v>
      </c>
      <c r="B18" s="18"/>
      <c r="C18" s="18"/>
      <c r="D18" s="18"/>
      <c r="E18" s="22"/>
      <c r="F18" s="25"/>
      <c r="G18" s="22"/>
      <c r="H18" s="25"/>
      <c r="I18" s="22"/>
      <c r="J18" s="25"/>
      <c r="K18" s="22"/>
      <c r="L18" s="25"/>
      <c r="M18" s="19"/>
      <c r="N18" s="1" t="s">
        <v>80</v>
      </c>
    </row>
    <row r="19" spans="1:52" ht="30" customHeight="1" x14ac:dyDescent="0.45">
      <c r="A19" s="20" t="s">
        <v>232</v>
      </c>
      <c r="B19" s="20" t="s">
        <v>233</v>
      </c>
      <c r="C19" s="20" t="s">
        <v>61</v>
      </c>
      <c r="D19" s="21">
        <v>1.05</v>
      </c>
      <c r="E19" s="23">
        <f>단가대비표!O39</f>
        <v>96000</v>
      </c>
      <c r="F19" s="26">
        <f>TRUNC(E19*D19,1)</f>
        <v>100800</v>
      </c>
      <c r="G19" s="23">
        <f>단가대비표!P39</f>
        <v>0</v>
      </c>
      <c r="H19" s="26">
        <f>TRUNC(G19*D19,1)</f>
        <v>0</v>
      </c>
      <c r="I19" s="23">
        <f>단가대비표!V39</f>
        <v>0</v>
      </c>
      <c r="J19" s="26">
        <f>TRUNC(I19*D19,1)</f>
        <v>0</v>
      </c>
      <c r="K19" s="23">
        <f t="shared" ref="K19:L23" si="2">TRUNC(E19+G19+I19,1)</f>
        <v>96000</v>
      </c>
      <c r="L19" s="26">
        <f t="shared" si="2"/>
        <v>100800</v>
      </c>
      <c r="M19" s="20" t="s">
        <v>53</v>
      </c>
      <c r="N19" s="1" t="s">
        <v>80</v>
      </c>
      <c r="O19" s="1" t="s">
        <v>234</v>
      </c>
      <c r="P19" s="1" t="s">
        <v>65</v>
      </c>
      <c r="Q19" s="1" t="s">
        <v>65</v>
      </c>
      <c r="R19" s="1" t="s">
        <v>64</v>
      </c>
      <c r="V19">
        <v>1</v>
      </c>
      <c r="AV19" s="1" t="s">
        <v>53</v>
      </c>
      <c r="AW19" s="1" t="s">
        <v>235</v>
      </c>
      <c r="AX19" s="1" t="s">
        <v>53</v>
      </c>
      <c r="AY19" s="1" t="s">
        <v>53</v>
      </c>
      <c r="AZ19" s="1" t="s">
        <v>53</v>
      </c>
    </row>
    <row r="20" spans="1:52" ht="30" customHeight="1" x14ac:dyDescent="0.45">
      <c r="A20" s="20" t="s">
        <v>236</v>
      </c>
      <c r="B20" s="20" t="s">
        <v>237</v>
      </c>
      <c r="C20" s="20" t="s">
        <v>211</v>
      </c>
      <c r="D20" s="21">
        <v>1</v>
      </c>
      <c r="E20" s="23">
        <f>TRUNC(SUMIF(V19:V23, RIGHTB(O20, 1), F19:F23)*U20, 2)</f>
        <v>6048</v>
      </c>
      <c r="F20" s="26">
        <f>TRUNC(E20*D20,1)</f>
        <v>6048</v>
      </c>
      <c r="G20" s="23">
        <v>0</v>
      </c>
      <c r="H20" s="26">
        <f>TRUNC(G20*D20,1)</f>
        <v>0</v>
      </c>
      <c r="I20" s="23">
        <v>0</v>
      </c>
      <c r="J20" s="26">
        <f>TRUNC(I20*D20,1)</f>
        <v>0</v>
      </c>
      <c r="K20" s="23">
        <f t="shared" si="2"/>
        <v>6048</v>
      </c>
      <c r="L20" s="26">
        <f t="shared" si="2"/>
        <v>6048</v>
      </c>
      <c r="M20" s="20" t="s">
        <v>53</v>
      </c>
      <c r="N20" s="1" t="s">
        <v>80</v>
      </c>
      <c r="O20" s="1" t="s">
        <v>212</v>
      </c>
      <c r="P20" s="1" t="s">
        <v>65</v>
      </c>
      <c r="Q20" s="1" t="s">
        <v>65</v>
      </c>
      <c r="R20" s="1" t="s">
        <v>65</v>
      </c>
      <c r="S20">
        <v>0</v>
      </c>
      <c r="T20">
        <v>0</v>
      </c>
      <c r="U20">
        <v>0.06</v>
      </c>
      <c r="AV20" s="1" t="s">
        <v>53</v>
      </c>
      <c r="AW20" s="1" t="s">
        <v>238</v>
      </c>
      <c r="AX20" s="1" t="s">
        <v>53</v>
      </c>
      <c r="AY20" s="1" t="s">
        <v>53</v>
      </c>
      <c r="AZ20" s="1" t="s">
        <v>53</v>
      </c>
    </row>
    <row r="21" spans="1:52" ht="30" customHeight="1" x14ac:dyDescent="0.45">
      <c r="A21" s="20" t="s">
        <v>201</v>
      </c>
      <c r="B21" s="20" t="s">
        <v>202</v>
      </c>
      <c r="C21" s="20" t="s">
        <v>203</v>
      </c>
      <c r="D21" s="21">
        <v>0.16700000000000001</v>
      </c>
      <c r="E21" s="23">
        <f>단가대비표!O34</f>
        <v>0</v>
      </c>
      <c r="F21" s="26">
        <f>TRUNC(E21*D21,1)</f>
        <v>0</v>
      </c>
      <c r="G21" s="23">
        <f>단가대비표!P34</f>
        <v>277642</v>
      </c>
      <c r="H21" s="26">
        <f>TRUNC(G21*D21,1)</f>
        <v>46366.2</v>
      </c>
      <c r="I21" s="23">
        <f>단가대비표!V34</f>
        <v>0</v>
      </c>
      <c r="J21" s="26">
        <f>TRUNC(I21*D21,1)</f>
        <v>0</v>
      </c>
      <c r="K21" s="23">
        <f t="shared" si="2"/>
        <v>277642</v>
      </c>
      <c r="L21" s="26">
        <f t="shared" si="2"/>
        <v>46366.2</v>
      </c>
      <c r="M21" s="20" t="s">
        <v>53</v>
      </c>
      <c r="N21" s="1" t="s">
        <v>80</v>
      </c>
      <c r="O21" s="1" t="s">
        <v>204</v>
      </c>
      <c r="P21" s="1" t="s">
        <v>65</v>
      </c>
      <c r="Q21" s="1" t="s">
        <v>65</v>
      </c>
      <c r="R21" s="1" t="s">
        <v>64</v>
      </c>
      <c r="W21">
        <v>2</v>
      </c>
      <c r="AV21" s="1" t="s">
        <v>53</v>
      </c>
      <c r="AW21" s="1" t="s">
        <v>239</v>
      </c>
      <c r="AX21" s="1" t="s">
        <v>53</v>
      </c>
      <c r="AY21" s="1" t="s">
        <v>53</v>
      </c>
      <c r="AZ21" s="1" t="s">
        <v>53</v>
      </c>
    </row>
    <row r="22" spans="1:52" ht="30" customHeight="1" x14ac:dyDescent="0.45">
      <c r="A22" s="20" t="s">
        <v>206</v>
      </c>
      <c r="B22" s="20" t="s">
        <v>202</v>
      </c>
      <c r="C22" s="20" t="s">
        <v>203</v>
      </c>
      <c r="D22" s="21">
        <v>5.6000000000000001E-2</v>
      </c>
      <c r="E22" s="23">
        <f>단가대비표!O27</f>
        <v>0</v>
      </c>
      <c r="F22" s="26">
        <f>TRUNC(E22*D22,1)</f>
        <v>0</v>
      </c>
      <c r="G22" s="23">
        <f>단가대비표!P27</f>
        <v>172068</v>
      </c>
      <c r="H22" s="26">
        <f>TRUNC(G22*D22,1)</f>
        <v>9635.7999999999993</v>
      </c>
      <c r="I22" s="23">
        <f>단가대비표!V27</f>
        <v>0</v>
      </c>
      <c r="J22" s="26">
        <f>TRUNC(I22*D22,1)</f>
        <v>0</v>
      </c>
      <c r="K22" s="23">
        <f t="shared" si="2"/>
        <v>172068</v>
      </c>
      <c r="L22" s="26">
        <f t="shared" si="2"/>
        <v>9635.7999999999993</v>
      </c>
      <c r="M22" s="20" t="s">
        <v>53</v>
      </c>
      <c r="N22" s="1" t="s">
        <v>80</v>
      </c>
      <c r="O22" s="1" t="s">
        <v>207</v>
      </c>
      <c r="P22" s="1" t="s">
        <v>65</v>
      </c>
      <c r="Q22" s="1" t="s">
        <v>65</v>
      </c>
      <c r="R22" s="1" t="s">
        <v>64</v>
      </c>
      <c r="W22">
        <v>2</v>
      </c>
      <c r="AV22" s="1" t="s">
        <v>53</v>
      </c>
      <c r="AW22" s="1" t="s">
        <v>240</v>
      </c>
      <c r="AX22" s="1" t="s">
        <v>53</v>
      </c>
      <c r="AY22" s="1" t="s">
        <v>53</v>
      </c>
      <c r="AZ22" s="1" t="s">
        <v>53</v>
      </c>
    </row>
    <row r="23" spans="1:52" ht="30" customHeight="1" x14ac:dyDescent="0.45">
      <c r="A23" s="20" t="s">
        <v>209</v>
      </c>
      <c r="B23" s="20" t="s">
        <v>210</v>
      </c>
      <c r="C23" s="20" t="s">
        <v>211</v>
      </c>
      <c r="D23" s="21">
        <v>1</v>
      </c>
      <c r="E23" s="23">
        <v>0</v>
      </c>
      <c r="F23" s="26">
        <f>TRUNC(E23*D23,1)</f>
        <v>0</v>
      </c>
      <c r="G23" s="23">
        <v>0</v>
      </c>
      <c r="H23" s="26">
        <f>TRUNC(G23*D23,1)</f>
        <v>0</v>
      </c>
      <c r="I23" s="23">
        <f>TRUNC(SUMIF(W19:W23, RIGHTB(O23, 1), H19:H23)*U23, 2)</f>
        <v>1120.04</v>
      </c>
      <c r="J23" s="26">
        <f>TRUNC(I23*D23,1)</f>
        <v>1120</v>
      </c>
      <c r="K23" s="23">
        <f t="shared" si="2"/>
        <v>1120</v>
      </c>
      <c r="L23" s="26">
        <f t="shared" si="2"/>
        <v>1120</v>
      </c>
      <c r="M23" s="20" t="s">
        <v>53</v>
      </c>
      <c r="N23" s="1" t="s">
        <v>80</v>
      </c>
      <c r="O23" s="1" t="s">
        <v>241</v>
      </c>
      <c r="P23" s="1" t="s">
        <v>65</v>
      </c>
      <c r="Q23" s="1" t="s">
        <v>65</v>
      </c>
      <c r="R23" s="1" t="s">
        <v>65</v>
      </c>
      <c r="S23">
        <v>1</v>
      </c>
      <c r="T23">
        <v>2</v>
      </c>
      <c r="U23">
        <v>0.02</v>
      </c>
      <c r="AV23" s="1" t="s">
        <v>53</v>
      </c>
      <c r="AW23" s="1" t="s">
        <v>242</v>
      </c>
      <c r="AX23" s="1" t="s">
        <v>53</v>
      </c>
      <c r="AY23" s="1" t="s">
        <v>53</v>
      </c>
      <c r="AZ23" s="1" t="s">
        <v>53</v>
      </c>
    </row>
    <row r="24" spans="1:52" ht="30" customHeight="1" x14ac:dyDescent="0.45">
      <c r="A24" s="20" t="s">
        <v>214</v>
      </c>
      <c r="B24" s="20" t="s">
        <v>53</v>
      </c>
      <c r="C24" s="20" t="s">
        <v>53</v>
      </c>
      <c r="D24" s="21"/>
      <c r="E24" s="23"/>
      <c r="F24" s="26">
        <f>TRUNC(SUMIF(N19:N23, N18, F19:F23),0)</f>
        <v>106848</v>
      </c>
      <c r="G24" s="23"/>
      <c r="H24" s="26">
        <f>TRUNC(SUMIF(N19:N23, N18, H19:H23),0)</f>
        <v>56002</v>
      </c>
      <c r="I24" s="23"/>
      <c r="J24" s="26">
        <f>TRUNC(SUMIF(N19:N23, N18, J19:J23),0)</f>
        <v>1120</v>
      </c>
      <c r="K24" s="23"/>
      <c r="L24" s="26">
        <f>F24+H24+J24</f>
        <v>163970</v>
      </c>
      <c r="M24" s="20" t="s">
        <v>53</v>
      </c>
      <c r="N24" s="1" t="s">
        <v>74</v>
      </c>
      <c r="O24" s="1" t="s">
        <v>74</v>
      </c>
      <c r="P24" s="1" t="s">
        <v>53</v>
      </c>
      <c r="Q24" s="1" t="s">
        <v>53</v>
      </c>
      <c r="R24" s="1" t="s">
        <v>53</v>
      </c>
      <c r="AV24" s="1" t="s">
        <v>53</v>
      </c>
      <c r="AW24" s="1" t="s">
        <v>53</v>
      </c>
      <c r="AX24" s="1" t="s">
        <v>53</v>
      </c>
      <c r="AY24" s="1" t="s">
        <v>53</v>
      </c>
      <c r="AZ24" s="1" t="s">
        <v>53</v>
      </c>
    </row>
    <row r="25" spans="1:52" ht="30" customHeight="1" x14ac:dyDescent="0.45">
      <c r="A25" s="21"/>
      <c r="B25" s="21"/>
      <c r="C25" s="21"/>
      <c r="D25" s="21"/>
      <c r="E25" s="23"/>
      <c r="F25" s="26"/>
      <c r="G25" s="23"/>
      <c r="H25" s="26"/>
      <c r="I25" s="23"/>
      <c r="J25" s="26"/>
      <c r="K25" s="23"/>
      <c r="L25" s="26"/>
      <c r="M25" s="21"/>
    </row>
    <row r="26" spans="1:52" ht="30" customHeight="1" x14ac:dyDescent="0.45">
      <c r="A26" s="17" t="s">
        <v>243</v>
      </c>
      <c r="B26" s="18"/>
      <c r="C26" s="18"/>
      <c r="D26" s="18"/>
      <c r="E26" s="22"/>
      <c r="F26" s="25"/>
      <c r="G26" s="22"/>
      <c r="H26" s="25"/>
      <c r="I26" s="22"/>
      <c r="J26" s="25"/>
      <c r="K26" s="22"/>
      <c r="L26" s="25"/>
      <c r="M26" s="19"/>
      <c r="N26" s="1" t="s">
        <v>86</v>
      </c>
    </row>
    <row r="27" spans="1:52" ht="30" customHeight="1" x14ac:dyDescent="0.45">
      <c r="A27" s="20" t="s">
        <v>245</v>
      </c>
      <c r="B27" s="20" t="s">
        <v>202</v>
      </c>
      <c r="C27" s="20" t="s">
        <v>203</v>
      </c>
      <c r="D27" s="21">
        <v>7.0000000000000007E-2</v>
      </c>
      <c r="E27" s="23">
        <f>단가대비표!O28</f>
        <v>0</v>
      </c>
      <c r="F27" s="26">
        <f>TRUNC(E27*D27,1)</f>
        <v>0</v>
      </c>
      <c r="G27" s="23">
        <f>단가대비표!P28</f>
        <v>226122</v>
      </c>
      <c r="H27" s="26">
        <f>TRUNC(G27*D27,1)</f>
        <v>15828.5</v>
      </c>
      <c r="I27" s="23">
        <f>단가대비표!V28</f>
        <v>0</v>
      </c>
      <c r="J27" s="26">
        <f>TRUNC(I27*D27,1)</f>
        <v>0</v>
      </c>
      <c r="K27" s="23">
        <f>TRUNC(E27+G27+I27,1)</f>
        <v>226122</v>
      </c>
      <c r="L27" s="26">
        <f>TRUNC(F27+H27+J27,1)</f>
        <v>15828.5</v>
      </c>
      <c r="M27" s="20" t="s">
        <v>53</v>
      </c>
      <c r="N27" s="1" t="s">
        <v>86</v>
      </c>
      <c r="O27" s="1" t="s">
        <v>246</v>
      </c>
      <c r="P27" s="1" t="s">
        <v>65</v>
      </c>
      <c r="Q27" s="1" t="s">
        <v>65</v>
      </c>
      <c r="R27" s="1" t="s">
        <v>64</v>
      </c>
      <c r="AV27" s="1" t="s">
        <v>53</v>
      </c>
      <c r="AW27" s="1" t="s">
        <v>247</v>
      </c>
      <c r="AX27" s="1" t="s">
        <v>53</v>
      </c>
      <c r="AY27" s="1" t="s">
        <v>53</v>
      </c>
      <c r="AZ27" s="1" t="s">
        <v>53</v>
      </c>
    </row>
    <row r="28" spans="1:52" ht="30" customHeight="1" x14ac:dyDescent="0.45">
      <c r="A28" s="20" t="s">
        <v>206</v>
      </c>
      <c r="B28" s="20" t="s">
        <v>202</v>
      </c>
      <c r="C28" s="20" t="s">
        <v>203</v>
      </c>
      <c r="D28" s="21">
        <v>0.02</v>
      </c>
      <c r="E28" s="23">
        <f>단가대비표!O27</f>
        <v>0</v>
      </c>
      <c r="F28" s="26">
        <f>TRUNC(E28*D28,1)</f>
        <v>0</v>
      </c>
      <c r="G28" s="23">
        <f>단가대비표!P27</f>
        <v>172068</v>
      </c>
      <c r="H28" s="26">
        <f>TRUNC(G28*D28,1)</f>
        <v>3441.3</v>
      </c>
      <c r="I28" s="23">
        <f>단가대비표!V27</f>
        <v>0</v>
      </c>
      <c r="J28" s="26">
        <f>TRUNC(I28*D28,1)</f>
        <v>0</v>
      </c>
      <c r="K28" s="23">
        <f>TRUNC(E28+G28+I28,1)</f>
        <v>172068</v>
      </c>
      <c r="L28" s="26">
        <f>TRUNC(F28+H28+J28,1)</f>
        <v>3441.3</v>
      </c>
      <c r="M28" s="20" t="s">
        <v>53</v>
      </c>
      <c r="N28" s="1" t="s">
        <v>86</v>
      </c>
      <c r="O28" s="1" t="s">
        <v>207</v>
      </c>
      <c r="P28" s="1" t="s">
        <v>65</v>
      </c>
      <c r="Q28" s="1" t="s">
        <v>65</v>
      </c>
      <c r="R28" s="1" t="s">
        <v>64</v>
      </c>
      <c r="AV28" s="1" t="s">
        <v>53</v>
      </c>
      <c r="AW28" s="1" t="s">
        <v>248</v>
      </c>
      <c r="AX28" s="1" t="s">
        <v>53</v>
      </c>
      <c r="AY28" s="1" t="s">
        <v>53</v>
      </c>
      <c r="AZ28" s="1" t="s">
        <v>53</v>
      </c>
    </row>
    <row r="29" spans="1:52" ht="30" customHeight="1" x14ac:dyDescent="0.45">
      <c r="A29" s="20" t="s">
        <v>214</v>
      </c>
      <c r="B29" s="20" t="s">
        <v>53</v>
      </c>
      <c r="C29" s="20" t="s">
        <v>53</v>
      </c>
      <c r="D29" s="21"/>
      <c r="E29" s="23"/>
      <c r="F29" s="26">
        <f>TRUNC(SUMIF(N27:N28, N26, F27:F28),0)</f>
        <v>0</v>
      </c>
      <c r="G29" s="23"/>
      <c r="H29" s="26">
        <f>TRUNC(SUMIF(N27:N28, N26, H27:H28),0)</f>
        <v>19269</v>
      </c>
      <c r="I29" s="23"/>
      <c r="J29" s="26">
        <f>TRUNC(SUMIF(N27:N28, N26, J27:J28),0)</f>
        <v>0</v>
      </c>
      <c r="K29" s="23"/>
      <c r="L29" s="26">
        <f>F29+H29+J29</f>
        <v>19269</v>
      </c>
      <c r="M29" s="20" t="s">
        <v>53</v>
      </c>
      <c r="N29" s="1" t="s">
        <v>74</v>
      </c>
      <c r="O29" s="1" t="s">
        <v>74</v>
      </c>
      <c r="P29" s="1" t="s">
        <v>53</v>
      </c>
      <c r="Q29" s="1" t="s">
        <v>53</v>
      </c>
      <c r="R29" s="1" t="s">
        <v>53</v>
      </c>
      <c r="AV29" s="1" t="s">
        <v>53</v>
      </c>
      <c r="AW29" s="1" t="s">
        <v>53</v>
      </c>
      <c r="AX29" s="1" t="s">
        <v>53</v>
      </c>
      <c r="AY29" s="1" t="s">
        <v>53</v>
      </c>
      <c r="AZ29" s="1" t="s">
        <v>53</v>
      </c>
    </row>
    <row r="30" spans="1:52" ht="30" customHeight="1" x14ac:dyDescent="0.45">
      <c r="A30" s="21"/>
      <c r="B30" s="21"/>
      <c r="C30" s="21"/>
      <c r="D30" s="21"/>
      <c r="E30" s="23"/>
      <c r="F30" s="26"/>
      <c r="G30" s="23"/>
      <c r="H30" s="26"/>
      <c r="I30" s="23"/>
      <c r="J30" s="26"/>
      <c r="K30" s="23"/>
      <c r="L30" s="26"/>
      <c r="M30" s="21"/>
    </row>
    <row r="31" spans="1:52" ht="30" customHeight="1" x14ac:dyDescent="0.45">
      <c r="A31" s="17" t="s">
        <v>249</v>
      </c>
      <c r="B31" s="18"/>
      <c r="C31" s="18"/>
      <c r="D31" s="18"/>
      <c r="E31" s="22"/>
      <c r="F31" s="25"/>
      <c r="G31" s="22"/>
      <c r="H31" s="25"/>
      <c r="I31" s="22"/>
      <c r="J31" s="25"/>
      <c r="K31" s="22"/>
      <c r="L31" s="25"/>
      <c r="M31" s="19"/>
      <c r="N31" s="1" t="s">
        <v>110</v>
      </c>
    </row>
    <row r="32" spans="1:52" ht="30" customHeight="1" x14ac:dyDescent="0.45">
      <c r="A32" s="20" t="s">
        <v>251</v>
      </c>
      <c r="B32" s="20" t="s">
        <v>252</v>
      </c>
      <c r="C32" s="20" t="s">
        <v>171</v>
      </c>
      <c r="D32" s="21">
        <v>1000</v>
      </c>
      <c r="E32" s="23">
        <f>단가산출목록!E5</f>
        <v>0</v>
      </c>
      <c r="F32" s="26">
        <f>TRUNC(E32*D32,1)</f>
        <v>0</v>
      </c>
      <c r="G32" s="23">
        <f>단가산출목록!F5</f>
        <v>0</v>
      </c>
      <c r="H32" s="26">
        <f>TRUNC(G32*D32,1)</f>
        <v>0</v>
      </c>
      <c r="I32" s="23">
        <f>단가산출목록!G5</f>
        <v>91</v>
      </c>
      <c r="J32" s="26">
        <f>TRUNC(I32*D32,1)</f>
        <v>91000</v>
      </c>
      <c r="K32" s="23">
        <f>TRUNC(E32+G32+I32,1)</f>
        <v>91</v>
      </c>
      <c r="L32" s="26">
        <f>TRUNC(F32+H32+J32,1)</f>
        <v>91000</v>
      </c>
      <c r="M32" s="20" t="s">
        <v>253</v>
      </c>
      <c r="N32" s="1" t="s">
        <v>110</v>
      </c>
      <c r="O32" s="1" t="s">
        <v>254</v>
      </c>
      <c r="P32" s="1" t="s">
        <v>65</v>
      </c>
      <c r="Q32" s="1" t="s">
        <v>64</v>
      </c>
      <c r="R32" s="1" t="s">
        <v>65</v>
      </c>
      <c r="AV32" s="1" t="s">
        <v>53</v>
      </c>
      <c r="AW32" s="1" t="s">
        <v>255</v>
      </c>
      <c r="AX32" s="1" t="s">
        <v>53</v>
      </c>
      <c r="AY32" s="1" t="s">
        <v>53</v>
      </c>
      <c r="AZ32" s="1" t="s">
        <v>53</v>
      </c>
    </row>
    <row r="33" spans="1:52" ht="30" customHeight="1" x14ac:dyDescent="0.45">
      <c r="A33" s="20" t="s">
        <v>214</v>
      </c>
      <c r="B33" s="20" t="s">
        <v>53</v>
      </c>
      <c r="C33" s="20" t="s">
        <v>53</v>
      </c>
      <c r="D33" s="21"/>
      <c r="E33" s="23"/>
      <c r="F33" s="26">
        <f>TRUNC(SUMIF(N32:N32, N31, F32:F32),0)</f>
        <v>0</v>
      </c>
      <c r="G33" s="23"/>
      <c r="H33" s="26">
        <f>TRUNC(SUMIF(N32:N32, N31, H32:H32),0)</f>
        <v>0</v>
      </c>
      <c r="I33" s="23"/>
      <c r="J33" s="26">
        <f>TRUNC(SUMIF(N32:N32, N31, J32:J32),0)</f>
        <v>91000</v>
      </c>
      <c r="K33" s="23"/>
      <c r="L33" s="26">
        <f>F33+H33+J33</f>
        <v>91000</v>
      </c>
      <c r="M33" s="20" t="s">
        <v>53</v>
      </c>
      <c r="N33" s="1" t="s">
        <v>74</v>
      </c>
      <c r="O33" s="1" t="s">
        <v>74</v>
      </c>
      <c r="P33" s="1" t="s">
        <v>53</v>
      </c>
      <c r="Q33" s="1" t="s">
        <v>53</v>
      </c>
      <c r="R33" s="1" t="s">
        <v>53</v>
      </c>
      <c r="AV33" s="1" t="s">
        <v>53</v>
      </c>
      <c r="AW33" s="1" t="s">
        <v>53</v>
      </c>
      <c r="AX33" s="1" t="s">
        <v>53</v>
      </c>
      <c r="AY33" s="1" t="s">
        <v>53</v>
      </c>
      <c r="AZ33" s="1" t="s">
        <v>53</v>
      </c>
    </row>
    <row r="34" spans="1:52" ht="30" customHeight="1" x14ac:dyDescent="0.45">
      <c r="A34" s="21"/>
      <c r="B34" s="21"/>
      <c r="C34" s="21"/>
      <c r="D34" s="21"/>
      <c r="E34" s="23"/>
      <c r="F34" s="26"/>
      <c r="G34" s="23"/>
      <c r="H34" s="26"/>
      <c r="I34" s="23"/>
      <c r="J34" s="26"/>
      <c r="K34" s="23"/>
      <c r="L34" s="26"/>
      <c r="M34" s="21"/>
    </row>
    <row r="35" spans="1:52" ht="30" customHeight="1" x14ac:dyDescent="0.45">
      <c r="A35" s="17" t="s">
        <v>256</v>
      </c>
      <c r="B35" s="18"/>
      <c r="C35" s="18"/>
      <c r="D35" s="18"/>
      <c r="E35" s="22"/>
      <c r="F35" s="25"/>
      <c r="G35" s="22"/>
      <c r="H35" s="25"/>
      <c r="I35" s="22"/>
      <c r="J35" s="25"/>
      <c r="K35" s="22"/>
      <c r="L35" s="25"/>
      <c r="M35" s="19"/>
      <c r="N35" s="1" t="s">
        <v>115</v>
      </c>
    </row>
    <row r="36" spans="1:52" ht="30" customHeight="1" x14ac:dyDescent="0.45">
      <c r="A36" s="20" t="s">
        <v>257</v>
      </c>
      <c r="B36" s="20" t="s">
        <v>258</v>
      </c>
      <c r="C36" s="20" t="s">
        <v>61</v>
      </c>
      <c r="D36" s="21">
        <v>0.45</v>
      </c>
      <c r="E36" s="23">
        <f>일위대가목록!E14</f>
        <v>15527</v>
      </c>
      <c r="F36" s="26">
        <f>TRUNC(E36*D36,1)</f>
        <v>6987.1</v>
      </c>
      <c r="G36" s="23">
        <f>일위대가목록!F14</f>
        <v>34461</v>
      </c>
      <c r="H36" s="26">
        <f>TRUNC(G36*D36,1)</f>
        <v>15507.4</v>
      </c>
      <c r="I36" s="23">
        <f>일위대가목록!G14</f>
        <v>344</v>
      </c>
      <c r="J36" s="26">
        <f>TRUNC(I36*D36,1)</f>
        <v>154.80000000000001</v>
      </c>
      <c r="K36" s="23">
        <f t="shared" ref="K36:L38" si="3">TRUNC(E36+G36+I36,1)</f>
        <v>50332</v>
      </c>
      <c r="L36" s="26">
        <f t="shared" si="3"/>
        <v>22649.3</v>
      </c>
      <c r="M36" s="20" t="s">
        <v>259</v>
      </c>
      <c r="N36" s="1" t="s">
        <v>115</v>
      </c>
      <c r="O36" s="1" t="s">
        <v>260</v>
      </c>
      <c r="P36" s="1" t="s">
        <v>64</v>
      </c>
      <c r="Q36" s="1" t="s">
        <v>65</v>
      </c>
      <c r="R36" s="1" t="s">
        <v>65</v>
      </c>
      <c r="AV36" s="1" t="s">
        <v>53</v>
      </c>
      <c r="AW36" s="1" t="s">
        <v>261</v>
      </c>
      <c r="AX36" s="1" t="s">
        <v>53</v>
      </c>
      <c r="AY36" s="1" t="s">
        <v>53</v>
      </c>
      <c r="AZ36" s="1" t="s">
        <v>53</v>
      </c>
    </row>
    <row r="37" spans="1:52" ht="30" customHeight="1" x14ac:dyDescent="0.45">
      <c r="A37" s="20" t="s">
        <v>262</v>
      </c>
      <c r="B37" s="20" t="s">
        <v>263</v>
      </c>
      <c r="C37" s="20" t="s">
        <v>69</v>
      </c>
      <c r="D37" s="21">
        <v>2.75E-2</v>
      </c>
      <c r="E37" s="23">
        <f>일위대가목록!E15</f>
        <v>121255</v>
      </c>
      <c r="F37" s="26">
        <f>TRUNC(E37*D37,1)</f>
        <v>3334.5</v>
      </c>
      <c r="G37" s="23">
        <f>일위대가목록!F15</f>
        <v>0</v>
      </c>
      <c r="H37" s="26">
        <f>TRUNC(G37*D37,1)</f>
        <v>0</v>
      </c>
      <c r="I37" s="23">
        <f>일위대가목록!G15</f>
        <v>0</v>
      </c>
      <c r="J37" s="26">
        <f>TRUNC(I37*D37,1)</f>
        <v>0</v>
      </c>
      <c r="K37" s="23">
        <f t="shared" si="3"/>
        <v>121255</v>
      </c>
      <c r="L37" s="26">
        <f t="shared" si="3"/>
        <v>3334.5</v>
      </c>
      <c r="M37" s="20" t="s">
        <v>264</v>
      </c>
      <c r="N37" s="1" t="s">
        <v>115</v>
      </c>
      <c r="O37" s="1" t="s">
        <v>265</v>
      </c>
      <c r="P37" s="1" t="s">
        <v>64</v>
      </c>
      <c r="Q37" s="1" t="s">
        <v>65</v>
      </c>
      <c r="R37" s="1" t="s">
        <v>65</v>
      </c>
      <c r="AV37" s="1" t="s">
        <v>53</v>
      </c>
      <c r="AW37" s="1" t="s">
        <v>266</v>
      </c>
      <c r="AX37" s="1" t="s">
        <v>53</v>
      </c>
      <c r="AY37" s="1" t="s">
        <v>53</v>
      </c>
      <c r="AZ37" s="1" t="s">
        <v>53</v>
      </c>
    </row>
    <row r="38" spans="1:52" ht="30" customHeight="1" x14ac:dyDescent="0.45">
      <c r="A38" s="20" t="s">
        <v>267</v>
      </c>
      <c r="B38" s="20" t="s">
        <v>268</v>
      </c>
      <c r="C38" s="20" t="s">
        <v>69</v>
      </c>
      <c r="D38" s="21">
        <v>2.7E-2</v>
      </c>
      <c r="E38" s="23">
        <f>일위대가목록!E16</f>
        <v>0</v>
      </c>
      <c r="F38" s="26">
        <f>TRUNC(E38*D38,1)</f>
        <v>0</v>
      </c>
      <c r="G38" s="23">
        <f>일위대가목록!F16</f>
        <v>373604</v>
      </c>
      <c r="H38" s="26">
        <f>TRUNC(G38*D38,1)</f>
        <v>10087.299999999999</v>
      </c>
      <c r="I38" s="23">
        <f>일위대가목록!G16</f>
        <v>0</v>
      </c>
      <c r="J38" s="26">
        <f>TRUNC(I38*D38,1)</f>
        <v>0</v>
      </c>
      <c r="K38" s="23">
        <f t="shared" si="3"/>
        <v>373604</v>
      </c>
      <c r="L38" s="26">
        <f t="shared" si="3"/>
        <v>10087.299999999999</v>
      </c>
      <c r="M38" s="20" t="s">
        <v>269</v>
      </c>
      <c r="N38" s="1" t="s">
        <v>115</v>
      </c>
      <c r="O38" s="1" t="s">
        <v>270</v>
      </c>
      <c r="P38" s="1" t="s">
        <v>64</v>
      </c>
      <c r="Q38" s="1" t="s">
        <v>65</v>
      </c>
      <c r="R38" s="1" t="s">
        <v>65</v>
      </c>
      <c r="AV38" s="1" t="s">
        <v>53</v>
      </c>
      <c r="AW38" s="1" t="s">
        <v>271</v>
      </c>
      <c r="AX38" s="1" t="s">
        <v>53</v>
      </c>
      <c r="AY38" s="1" t="s">
        <v>53</v>
      </c>
      <c r="AZ38" s="1" t="s">
        <v>53</v>
      </c>
    </row>
    <row r="39" spans="1:52" ht="30" customHeight="1" x14ac:dyDescent="0.45">
      <c r="A39" s="20" t="s">
        <v>214</v>
      </c>
      <c r="B39" s="20" t="s">
        <v>53</v>
      </c>
      <c r="C39" s="20" t="s">
        <v>53</v>
      </c>
      <c r="D39" s="21"/>
      <c r="E39" s="23"/>
      <c r="F39" s="26">
        <f>TRUNC(SUMIF(N36:N38, N35, F36:F38),0)</f>
        <v>10321</v>
      </c>
      <c r="G39" s="23"/>
      <c r="H39" s="26">
        <f>TRUNC(SUMIF(N36:N38, N35, H36:H38),0)</f>
        <v>25594</v>
      </c>
      <c r="I39" s="23"/>
      <c r="J39" s="26">
        <f>TRUNC(SUMIF(N36:N38, N35, J36:J38),0)</f>
        <v>154</v>
      </c>
      <c r="K39" s="23"/>
      <c r="L39" s="26">
        <f>F39+H39+J39</f>
        <v>36069</v>
      </c>
      <c r="M39" s="20" t="s">
        <v>53</v>
      </c>
      <c r="N39" s="1" t="s">
        <v>74</v>
      </c>
      <c r="O39" s="1" t="s">
        <v>74</v>
      </c>
      <c r="P39" s="1" t="s">
        <v>53</v>
      </c>
      <c r="Q39" s="1" t="s">
        <v>53</v>
      </c>
      <c r="R39" s="1" t="s">
        <v>53</v>
      </c>
      <c r="AV39" s="1" t="s">
        <v>53</v>
      </c>
      <c r="AW39" s="1" t="s">
        <v>53</v>
      </c>
      <c r="AX39" s="1" t="s">
        <v>53</v>
      </c>
      <c r="AY39" s="1" t="s">
        <v>53</v>
      </c>
      <c r="AZ39" s="1" t="s">
        <v>53</v>
      </c>
    </row>
    <row r="40" spans="1:52" ht="30" customHeight="1" x14ac:dyDescent="0.45">
      <c r="A40" s="21"/>
      <c r="B40" s="21"/>
      <c r="C40" s="21"/>
      <c r="D40" s="21"/>
      <c r="E40" s="23"/>
      <c r="F40" s="26"/>
      <c r="G40" s="23"/>
      <c r="H40" s="26"/>
      <c r="I40" s="23"/>
      <c r="J40" s="26"/>
      <c r="K40" s="23"/>
      <c r="L40" s="26"/>
      <c r="M40" s="21"/>
    </row>
    <row r="41" spans="1:52" ht="30" customHeight="1" x14ac:dyDescent="0.45">
      <c r="A41" s="17" t="s">
        <v>272</v>
      </c>
      <c r="B41" s="18"/>
      <c r="C41" s="18"/>
      <c r="D41" s="18"/>
      <c r="E41" s="22"/>
      <c r="F41" s="25"/>
      <c r="G41" s="22"/>
      <c r="H41" s="25"/>
      <c r="I41" s="22"/>
      <c r="J41" s="25"/>
      <c r="K41" s="22"/>
      <c r="L41" s="25"/>
      <c r="M41" s="19"/>
      <c r="N41" s="1" t="s">
        <v>120</v>
      </c>
    </row>
    <row r="42" spans="1:52" ht="30" customHeight="1" x14ac:dyDescent="0.45">
      <c r="A42" s="20" t="s">
        <v>273</v>
      </c>
      <c r="B42" s="20" t="s">
        <v>274</v>
      </c>
      <c r="C42" s="20" t="s">
        <v>84</v>
      </c>
      <c r="D42" s="21">
        <v>1.05</v>
      </c>
      <c r="E42" s="23">
        <f>단가대비표!O19</f>
        <v>17915.73</v>
      </c>
      <c r="F42" s="26">
        <f>TRUNC(E42*D42,1)</f>
        <v>18811.5</v>
      </c>
      <c r="G42" s="23">
        <f>단가대비표!P19</f>
        <v>0</v>
      </c>
      <c r="H42" s="26">
        <f>TRUNC(G42*D42,1)</f>
        <v>0</v>
      </c>
      <c r="I42" s="23">
        <f>단가대비표!V19</f>
        <v>0</v>
      </c>
      <c r="J42" s="26">
        <f>TRUNC(I42*D42,1)</f>
        <v>0</v>
      </c>
      <c r="K42" s="23">
        <f t="shared" ref="K42:L44" si="4">TRUNC(E42+G42+I42,1)</f>
        <v>17915.7</v>
      </c>
      <c r="L42" s="26">
        <f t="shared" si="4"/>
        <v>18811.5</v>
      </c>
      <c r="M42" s="20" t="s">
        <v>53</v>
      </c>
      <c r="N42" s="1" t="s">
        <v>120</v>
      </c>
      <c r="O42" s="1" t="s">
        <v>275</v>
      </c>
      <c r="P42" s="1" t="s">
        <v>65</v>
      </c>
      <c r="Q42" s="1" t="s">
        <v>65</v>
      </c>
      <c r="R42" s="1" t="s">
        <v>64</v>
      </c>
      <c r="AV42" s="1" t="s">
        <v>53</v>
      </c>
      <c r="AW42" s="1" t="s">
        <v>276</v>
      </c>
      <c r="AX42" s="1" t="s">
        <v>53</v>
      </c>
      <c r="AY42" s="1" t="s">
        <v>53</v>
      </c>
      <c r="AZ42" s="1" t="s">
        <v>53</v>
      </c>
    </row>
    <row r="43" spans="1:52" ht="30" customHeight="1" x14ac:dyDescent="0.45">
      <c r="A43" s="20" t="s">
        <v>277</v>
      </c>
      <c r="B43" s="20" t="s">
        <v>278</v>
      </c>
      <c r="C43" s="20" t="s">
        <v>171</v>
      </c>
      <c r="D43" s="21">
        <v>6.95</v>
      </c>
      <c r="E43" s="23">
        <f>일위대가목록!E19</f>
        <v>159</v>
      </c>
      <c r="F43" s="26">
        <f>TRUNC(E43*D43,1)</f>
        <v>1105</v>
      </c>
      <c r="G43" s="23">
        <f>일위대가목록!F19</f>
        <v>5328</v>
      </c>
      <c r="H43" s="26">
        <f>TRUNC(G43*D43,1)</f>
        <v>37029.599999999999</v>
      </c>
      <c r="I43" s="23">
        <f>일위대가목록!G19</f>
        <v>266</v>
      </c>
      <c r="J43" s="26">
        <f>TRUNC(I43*D43,1)</f>
        <v>1848.7</v>
      </c>
      <c r="K43" s="23">
        <f t="shared" si="4"/>
        <v>5753</v>
      </c>
      <c r="L43" s="26">
        <f t="shared" si="4"/>
        <v>39983.300000000003</v>
      </c>
      <c r="M43" s="20" t="s">
        <v>279</v>
      </c>
      <c r="N43" s="1" t="s">
        <v>120</v>
      </c>
      <c r="O43" s="1" t="s">
        <v>280</v>
      </c>
      <c r="P43" s="1" t="s">
        <v>64</v>
      </c>
      <c r="Q43" s="1" t="s">
        <v>65</v>
      </c>
      <c r="R43" s="1" t="s">
        <v>65</v>
      </c>
      <c r="AV43" s="1" t="s">
        <v>53</v>
      </c>
      <c r="AW43" s="1" t="s">
        <v>281</v>
      </c>
      <c r="AX43" s="1" t="s">
        <v>53</v>
      </c>
      <c r="AY43" s="1" t="s">
        <v>53</v>
      </c>
      <c r="AZ43" s="1" t="s">
        <v>53</v>
      </c>
    </row>
    <row r="44" spans="1:52" ht="30" customHeight="1" x14ac:dyDescent="0.45">
      <c r="A44" s="20" t="s">
        <v>282</v>
      </c>
      <c r="B44" s="20" t="s">
        <v>283</v>
      </c>
      <c r="C44" s="20" t="s">
        <v>171</v>
      </c>
      <c r="D44" s="21">
        <v>-0.24329999999999999</v>
      </c>
      <c r="E44" s="23">
        <f>단가대비표!O10</f>
        <v>360</v>
      </c>
      <c r="F44" s="26">
        <f>TRUNC(E44*D44,1)</f>
        <v>-87.5</v>
      </c>
      <c r="G44" s="23">
        <f>단가대비표!P10</f>
        <v>0</v>
      </c>
      <c r="H44" s="26">
        <f>TRUNC(G44*D44,1)</f>
        <v>0</v>
      </c>
      <c r="I44" s="23">
        <f>단가대비표!V10</f>
        <v>0</v>
      </c>
      <c r="J44" s="26">
        <f>TRUNC(I44*D44,1)</f>
        <v>0</v>
      </c>
      <c r="K44" s="23">
        <f t="shared" si="4"/>
        <v>360</v>
      </c>
      <c r="L44" s="26">
        <f t="shared" si="4"/>
        <v>-87.5</v>
      </c>
      <c r="M44" s="20" t="s">
        <v>284</v>
      </c>
      <c r="N44" s="1" t="s">
        <v>120</v>
      </c>
      <c r="O44" s="1" t="s">
        <v>285</v>
      </c>
      <c r="P44" s="1" t="s">
        <v>65</v>
      </c>
      <c r="Q44" s="1" t="s">
        <v>65</v>
      </c>
      <c r="R44" s="1" t="s">
        <v>64</v>
      </c>
      <c r="AV44" s="1" t="s">
        <v>53</v>
      </c>
      <c r="AW44" s="1" t="s">
        <v>286</v>
      </c>
      <c r="AX44" s="1" t="s">
        <v>53</v>
      </c>
      <c r="AY44" s="1" t="s">
        <v>53</v>
      </c>
      <c r="AZ44" s="1" t="s">
        <v>53</v>
      </c>
    </row>
    <row r="45" spans="1:52" ht="30" customHeight="1" x14ac:dyDescent="0.45">
      <c r="A45" s="20" t="s">
        <v>214</v>
      </c>
      <c r="B45" s="20" t="s">
        <v>53</v>
      </c>
      <c r="C45" s="20" t="s">
        <v>53</v>
      </c>
      <c r="D45" s="21"/>
      <c r="E45" s="23"/>
      <c r="F45" s="26">
        <f>TRUNC(SUMIF(N42:N44, N41, F42:F44),0)</f>
        <v>19829</v>
      </c>
      <c r="G45" s="23"/>
      <c r="H45" s="26">
        <f>TRUNC(SUMIF(N42:N44, N41, H42:H44),0)</f>
        <v>37029</v>
      </c>
      <c r="I45" s="23"/>
      <c r="J45" s="26">
        <f>TRUNC(SUMIF(N42:N44, N41, J42:J44),0)</f>
        <v>1848</v>
      </c>
      <c r="K45" s="23"/>
      <c r="L45" s="26">
        <f>F45+H45+J45</f>
        <v>58706</v>
      </c>
      <c r="M45" s="20" t="s">
        <v>53</v>
      </c>
      <c r="N45" s="1" t="s">
        <v>74</v>
      </c>
      <c r="O45" s="1" t="s">
        <v>74</v>
      </c>
      <c r="P45" s="1" t="s">
        <v>53</v>
      </c>
      <c r="Q45" s="1" t="s">
        <v>53</v>
      </c>
      <c r="R45" s="1" t="s">
        <v>53</v>
      </c>
      <c r="AV45" s="1" t="s">
        <v>53</v>
      </c>
      <c r="AW45" s="1" t="s">
        <v>53</v>
      </c>
      <c r="AX45" s="1" t="s">
        <v>53</v>
      </c>
      <c r="AY45" s="1" t="s">
        <v>53</v>
      </c>
      <c r="AZ45" s="1" t="s">
        <v>53</v>
      </c>
    </row>
    <row r="46" spans="1:52" ht="30" customHeight="1" x14ac:dyDescent="0.45">
      <c r="A46" s="21"/>
      <c r="B46" s="21"/>
      <c r="C46" s="21"/>
      <c r="D46" s="21"/>
      <c r="E46" s="23"/>
      <c r="F46" s="26"/>
      <c r="G46" s="23"/>
      <c r="H46" s="26"/>
      <c r="I46" s="23"/>
      <c r="J46" s="26"/>
      <c r="K46" s="23"/>
      <c r="L46" s="26"/>
      <c r="M46" s="21"/>
    </row>
    <row r="47" spans="1:52" ht="30" customHeight="1" x14ac:dyDescent="0.45">
      <c r="A47" s="17" t="s">
        <v>287</v>
      </c>
      <c r="B47" s="18"/>
      <c r="C47" s="18"/>
      <c r="D47" s="18"/>
      <c r="E47" s="22"/>
      <c r="F47" s="25"/>
      <c r="G47" s="22"/>
      <c r="H47" s="25"/>
      <c r="I47" s="22"/>
      <c r="J47" s="25"/>
      <c r="K47" s="22"/>
      <c r="L47" s="25"/>
      <c r="M47" s="19"/>
      <c r="N47" s="1" t="s">
        <v>124</v>
      </c>
    </row>
    <row r="48" spans="1:52" ht="30" customHeight="1" x14ac:dyDescent="0.45">
      <c r="A48" s="20" t="s">
        <v>273</v>
      </c>
      <c r="B48" s="20" t="s">
        <v>288</v>
      </c>
      <c r="C48" s="20" t="s">
        <v>84</v>
      </c>
      <c r="D48" s="21">
        <v>1.05</v>
      </c>
      <c r="E48" s="23">
        <f>단가대비표!O18</f>
        <v>12268.38</v>
      </c>
      <c r="F48" s="26">
        <f>TRUNC(E48*D48,1)</f>
        <v>12881.7</v>
      </c>
      <c r="G48" s="23">
        <f>단가대비표!P18</f>
        <v>0</v>
      </c>
      <c r="H48" s="26">
        <f>TRUNC(G48*D48,1)</f>
        <v>0</v>
      </c>
      <c r="I48" s="23">
        <f>단가대비표!V18</f>
        <v>0</v>
      </c>
      <c r="J48" s="26">
        <f>TRUNC(I48*D48,1)</f>
        <v>0</v>
      </c>
      <c r="K48" s="23">
        <f t="shared" ref="K48:L50" si="5">TRUNC(E48+G48+I48,1)</f>
        <v>12268.3</v>
      </c>
      <c r="L48" s="26">
        <f t="shared" si="5"/>
        <v>12881.7</v>
      </c>
      <c r="M48" s="20" t="s">
        <v>53</v>
      </c>
      <c r="N48" s="1" t="s">
        <v>124</v>
      </c>
      <c r="O48" s="1" t="s">
        <v>289</v>
      </c>
      <c r="P48" s="1" t="s">
        <v>65</v>
      </c>
      <c r="Q48" s="1" t="s">
        <v>65</v>
      </c>
      <c r="R48" s="1" t="s">
        <v>64</v>
      </c>
      <c r="AV48" s="1" t="s">
        <v>53</v>
      </c>
      <c r="AW48" s="1" t="s">
        <v>290</v>
      </c>
      <c r="AX48" s="1" t="s">
        <v>53</v>
      </c>
      <c r="AY48" s="1" t="s">
        <v>53</v>
      </c>
      <c r="AZ48" s="1" t="s">
        <v>53</v>
      </c>
    </row>
    <row r="49" spans="1:52" ht="30" customHeight="1" x14ac:dyDescent="0.45">
      <c r="A49" s="20" t="s">
        <v>277</v>
      </c>
      <c r="B49" s="20" t="s">
        <v>278</v>
      </c>
      <c r="C49" s="20" t="s">
        <v>171</v>
      </c>
      <c r="D49" s="21">
        <v>4.7291999999999996</v>
      </c>
      <c r="E49" s="23">
        <f>일위대가목록!E19</f>
        <v>159</v>
      </c>
      <c r="F49" s="26">
        <f>TRUNC(E49*D49,1)</f>
        <v>751.9</v>
      </c>
      <c r="G49" s="23">
        <f>일위대가목록!F19</f>
        <v>5328</v>
      </c>
      <c r="H49" s="26">
        <f>TRUNC(G49*D49,1)</f>
        <v>25197.1</v>
      </c>
      <c r="I49" s="23">
        <f>일위대가목록!G19</f>
        <v>266</v>
      </c>
      <c r="J49" s="26">
        <f>TRUNC(I49*D49,1)</f>
        <v>1257.9000000000001</v>
      </c>
      <c r="K49" s="23">
        <f t="shared" si="5"/>
        <v>5753</v>
      </c>
      <c r="L49" s="26">
        <f t="shared" si="5"/>
        <v>27206.9</v>
      </c>
      <c r="M49" s="20" t="s">
        <v>279</v>
      </c>
      <c r="N49" s="1" t="s">
        <v>124</v>
      </c>
      <c r="O49" s="1" t="s">
        <v>280</v>
      </c>
      <c r="P49" s="1" t="s">
        <v>64</v>
      </c>
      <c r="Q49" s="1" t="s">
        <v>65</v>
      </c>
      <c r="R49" s="1" t="s">
        <v>65</v>
      </c>
      <c r="AV49" s="1" t="s">
        <v>53</v>
      </c>
      <c r="AW49" s="1" t="s">
        <v>291</v>
      </c>
      <c r="AX49" s="1" t="s">
        <v>53</v>
      </c>
      <c r="AY49" s="1" t="s">
        <v>53</v>
      </c>
      <c r="AZ49" s="1" t="s">
        <v>53</v>
      </c>
    </row>
    <row r="50" spans="1:52" ht="30" customHeight="1" x14ac:dyDescent="0.45">
      <c r="A50" s="20" t="s">
        <v>282</v>
      </c>
      <c r="B50" s="20" t="s">
        <v>283</v>
      </c>
      <c r="C50" s="20" t="s">
        <v>171</v>
      </c>
      <c r="D50" s="21">
        <v>-0.16550000000000001</v>
      </c>
      <c r="E50" s="23">
        <f>단가대비표!O10</f>
        <v>360</v>
      </c>
      <c r="F50" s="26">
        <f>TRUNC(E50*D50,1)</f>
        <v>-59.5</v>
      </c>
      <c r="G50" s="23">
        <f>단가대비표!P10</f>
        <v>0</v>
      </c>
      <c r="H50" s="26">
        <f>TRUNC(G50*D50,1)</f>
        <v>0</v>
      </c>
      <c r="I50" s="23">
        <f>단가대비표!V10</f>
        <v>0</v>
      </c>
      <c r="J50" s="26">
        <f>TRUNC(I50*D50,1)</f>
        <v>0</v>
      </c>
      <c r="K50" s="23">
        <f t="shared" si="5"/>
        <v>360</v>
      </c>
      <c r="L50" s="26">
        <f t="shared" si="5"/>
        <v>-59.5</v>
      </c>
      <c r="M50" s="20" t="s">
        <v>284</v>
      </c>
      <c r="N50" s="1" t="s">
        <v>124</v>
      </c>
      <c r="O50" s="1" t="s">
        <v>285</v>
      </c>
      <c r="P50" s="1" t="s">
        <v>65</v>
      </c>
      <c r="Q50" s="1" t="s">
        <v>65</v>
      </c>
      <c r="R50" s="1" t="s">
        <v>64</v>
      </c>
      <c r="AV50" s="1" t="s">
        <v>53</v>
      </c>
      <c r="AW50" s="1" t="s">
        <v>292</v>
      </c>
      <c r="AX50" s="1" t="s">
        <v>53</v>
      </c>
      <c r="AY50" s="1" t="s">
        <v>53</v>
      </c>
      <c r="AZ50" s="1" t="s">
        <v>53</v>
      </c>
    </row>
    <row r="51" spans="1:52" ht="30" customHeight="1" x14ac:dyDescent="0.45">
      <c r="A51" s="20" t="s">
        <v>214</v>
      </c>
      <c r="B51" s="20" t="s">
        <v>53</v>
      </c>
      <c r="C51" s="20" t="s">
        <v>53</v>
      </c>
      <c r="D51" s="21"/>
      <c r="E51" s="23"/>
      <c r="F51" s="26">
        <f>TRUNC(SUMIF(N48:N50, N47, F48:F50),0)</f>
        <v>13574</v>
      </c>
      <c r="G51" s="23"/>
      <c r="H51" s="26">
        <f>TRUNC(SUMIF(N48:N50, N47, H48:H50),0)</f>
        <v>25197</v>
      </c>
      <c r="I51" s="23"/>
      <c r="J51" s="26">
        <f>TRUNC(SUMIF(N48:N50, N47, J48:J50),0)</f>
        <v>1257</v>
      </c>
      <c r="K51" s="23"/>
      <c r="L51" s="26">
        <f>F51+H51+J51</f>
        <v>40028</v>
      </c>
      <c r="M51" s="20" t="s">
        <v>53</v>
      </c>
      <c r="N51" s="1" t="s">
        <v>74</v>
      </c>
      <c r="O51" s="1" t="s">
        <v>74</v>
      </c>
      <c r="P51" s="1" t="s">
        <v>53</v>
      </c>
      <c r="Q51" s="1" t="s">
        <v>53</v>
      </c>
      <c r="R51" s="1" t="s">
        <v>53</v>
      </c>
      <c r="AV51" s="1" t="s">
        <v>53</v>
      </c>
      <c r="AW51" s="1" t="s">
        <v>53</v>
      </c>
      <c r="AX51" s="1" t="s">
        <v>53</v>
      </c>
      <c r="AY51" s="1" t="s">
        <v>53</v>
      </c>
      <c r="AZ51" s="1" t="s">
        <v>53</v>
      </c>
    </row>
    <row r="52" spans="1:52" ht="30" customHeight="1" x14ac:dyDescent="0.45">
      <c r="A52" s="21"/>
      <c r="B52" s="21"/>
      <c r="C52" s="21"/>
      <c r="D52" s="21"/>
      <c r="E52" s="23"/>
      <c r="F52" s="26"/>
      <c r="G52" s="23"/>
      <c r="H52" s="26"/>
      <c r="I52" s="23"/>
      <c r="J52" s="26"/>
      <c r="K52" s="23"/>
      <c r="L52" s="26"/>
      <c r="M52" s="21"/>
    </row>
    <row r="53" spans="1:52" ht="30" customHeight="1" x14ac:dyDescent="0.45">
      <c r="A53" s="17" t="s">
        <v>293</v>
      </c>
      <c r="B53" s="18"/>
      <c r="C53" s="18"/>
      <c r="D53" s="18"/>
      <c r="E53" s="22"/>
      <c r="F53" s="25"/>
      <c r="G53" s="22"/>
      <c r="H53" s="25"/>
      <c r="I53" s="22"/>
      <c r="J53" s="25"/>
      <c r="K53" s="22"/>
      <c r="L53" s="25"/>
      <c r="M53" s="19"/>
      <c r="N53" s="1" t="s">
        <v>129</v>
      </c>
    </row>
    <row r="54" spans="1:52" ht="30" customHeight="1" x14ac:dyDescent="0.45">
      <c r="A54" s="20" t="s">
        <v>294</v>
      </c>
      <c r="B54" s="20" t="s">
        <v>295</v>
      </c>
      <c r="C54" s="20" t="s">
        <v>171</v>
      </c>
      <c r="D54" s="21">
        <v>0.3886</v>
      </c>
      <c r="E54" s="23">
        <f>단가대비표!O13</f>
        <v>1011</v>
      </c>
      <c r="F54" s="26">
        <f>TRUNC(E54*D54,1)</f>
        <v>392.8</v>
      </c>
      <c r="G54" s="23">
        <f>단가대비표!P13</f>
        <v>0</v>
      </c>
      <c r="H54" s="26">
        <f>TRUNC(G54*D54,1)</f>
        <v>0</v>
      </c>
      <c r="I54" s="23">
        <f>단가대비표!V13</f>
        <v>0</v>
      </c>
      <c r="J54" s="26">
        <f>TRUNC(I54*D54,1)</f>
        <v>0</v>
      </c>
      <c r="K54" s="23">
        <f t="shared" ref="K54:L58" si="6">TRUNC(E54+G54+I54,1)</f>
        <v>1011</v>
      </c>
      <c r="L54" s="26">
        <f t="shared" si="6"/>
        <v>392.8</v>
      </c>
      <c r="M54" s="20" t="s">
        <v>53</v>
      </c>
      <c r="N54" s="1" t="s">
        <v>129</v>
      </c>
      <c r="O54" s="1" t="s">
        <v>296</v>
      </c>
      <c r="P54" s="1" t="s">
        <v>65</v>
      </c>
      <c r="Q54" s="1" t="s">
        <v>65</v>
      </c>
      <c r="R54" s="1" t="s">
        <v>64</v>
      </c>
      <c r="AV54" s="1" t="s">
        <v>53</v>
      </c>
      <c r="AW54" s="1" t="s">
        <v>297</v>
      </c>
      <c r="AX54" s="1" t="s">
        <v>53</v>
      </c>
      <c r="AY54" s="1" t="s">
        <v>53</v>
      </c>
      <c r="AZ54" s="1" t="s">
        <v>53</v>
      </c>
    </row>
    <row r="55" spans="1:52" ht="30" customHeight="1" x14ac:dyDescent="0.45">
      <c r="A55" s="20" t="s">
        <v>298</v>
      </c>
      <c r="B55" s="20" t="s">
        <v>53</v>
      </c>
      <c r="C55" s="20" t="s">
        <v>171</v>
      </c>
      <c r="D55" s="21">
        <v>0.3886</v>
      </c>
      <c r="E55" s="23">
        <f>단가대비표!O14</f>
        <v>980</v>
      </c>
      <c r="F55" s="26">
        <f>TRUNC(E55*D55,1)</f>
        <v>380.8</v>
      </c>
      <c r="G55" s="23">
        <f>단가대비표!P14</f>
        <v>0</v>
      </c>
      <c r="H55" s="26">
        <f>TRUNC(G55*D55,1)</f>
        <v>0</v>
      </c>
      <c r="I55" s="23">
        <f>단가대비표!V14</f>
        <v>0</v>
      </c>
      <c r="J55" s="26">
        <f>TRUNC(I55*D55,1)</f>
        <v>0</v>
      </c>
      <c r="K55" s="23">
        <f t="shared" si="6"/>
        <v>980</v>
      </c>
      <c r="L55" s="26">
        <f t="shared" si="6"/>
        <v>380.8</v>
      </c>
      <c r="M55" s="20" t="s">
        <v>53</v>
      </c>
      <c r="N55" s="1" t="s">
        <v>129</v>
      </c>
      <c r="O55" s="1" t="s">
        <v>299</v>
      </c>
      <c r="P55" s="1" t="s">
        <v>65</v>
      </c>
      <c r="Q55" s="1" t="s">
        <v>65</v>
      </c>
      <c r="R55" s="1" t="s">
        <v>64</v>
      </c>
      <c r="AV55" s="1" t="s">
        <v>53</v>
      </c>
      <c r="AW55" s="1" t="s">
        <v>300</v>
      </c>
      <c r="AX55" s="1" t="s">
        <v>53</v>
      </c>
      <c r="AY55" s="1" t="s">
        <v>53</v>
      </c>
      <c r="AZ55" s="1" t="s">
        <v>53</v>
      </c>
    </row>
    <row r="56" spans="1:52" ht="30" customHeight="1" x14ac:dyDescent="0.45">
      <c r="A56" s="20" t="s">
        <v>277</v>
      </c>
      <c r="B56" s="20" t="s">
        <v>278</v>
      </c>
      <c r="C56" s="20" t="s">
        <v>171</v>
      </c>
      <c r="D56" s="21">
        <v>0.3533</v>
      </c>
      <c r="E56" s="23">
        <f>일위대가목록!E19</f>
        <v>159</v>
      </c>
      <c r="F56" s="26">
        <f>TRUNC(E56*D56,1)</f>
        <v>56.1</v>
      </c>
      <c r="G56" s="23">
        <f>일위대가목록!F19</f>
        <v>5328</v>
      </c>
      <c r="H56" s="26">
        <f>TRUNC(G56*D56,1)</f>
        <v>1882.3</v>
      </c>
      <c r="I56" s="23">
        <f>일위대가목록!G19</f>
        <v>266</v>
      </c>
      <c r="J56" s="26">
        <f>TRUNC(I56*D56,1)</f>
        <v>93.9</v>
      </c>
      <c r="K56" s="23">
        <f t="shared" si="6"/>
        <v>5753</v>
      </c>
      <c r="L56" s="26">
        <f t="shared" si="6"/>
        <v>2032.3</v>
      </c>
      <c r="M56" s="20" t="s">
        <v>279</v>
      </c>
      <c r="N56" s="1" t="s">
        <v>129</v>
      </c>
      <c r="O56" s="1" t="s">
        <v>280</v>
      </c>
      <c r="P56" s="1" t="s">
        <v>64</v>
      </c>
      <c r="Q56" s="1" t="s">
        <v>65</v>
      </c>
      <c r="R56" s="1" t="s">
        <v>65</v>
      </c>
      <c r="AV56" s="1" t="s">
        <v>53</v>
      </c>
      <c r="AW56" s="1" t="s">
        <v>301</v>
      </c>
      <c r="AX56" s="1" t="s">
        <v>53</v>
      </c>
      <c r="AY56" s="1" t="s">
        <v>53</v>
      </c>
      <c r="AZ56" s="1" t="s">
        <v>53</v>
      </c>
    </row>
    <row r="57" spans="1:52" ht="30" customHeight="1" x14ac:dyDescent="0.45">
      <c r="A57" s="20" t="s">
        <v>282</v>
      </c>
      <c r="B57" s="20" t="s">
        <v>283</v>
      </c>
      <c r="C57" s="20" t="s">
        <v>171</v>
      </c>
      <c r="D57" s="21">
        <v>-1.24E-2</v>
      </c>
      <c r="E57" s="23">
        <f>단가대비표!O10</f>
        <v>360</v>
      </c>
      <c r="F57" s="26">
        <f>TRUNC(E57*D57,1)</f>
        <v>-4.4000000000000004</v>
      </c>
      <c r="G57" s="23">
        <f>단가대비표!P10</f>
        <v>0</v>
      </c>
      <c r="H57" s="26">
        <f>TRUNC(G57*D57,1)</f>
        <v>0</v>
      </c>
      <c r="I57" s="23">
        <f>단가대비표!V10</f>
        <v>0</v>
      </c>
      <c r="J57" s="26">
        <f>TRUNC(I57*D57,1)</f>
        <v>0</v>
      </c>
      <c r="K57" s="23">
        <f t="shared" si="6"/>
        <v>360</v>
      </c>
      <c r="L57" s="26">
        <f t="shared" si="6"/>
        <v>-4.4000000000000004</v>
      </c>
      <c r="M57" s="20" t="s">
        <v>284</v>
      </c>
      <c r="N57" s="1" t="s">
        <v>129</v>
      </c>
      <c r="O57" s="1" t="s">
        <v>285</v>
      </c>
      <c r="P57" s="1" t="s">
        <v>65</v>
      </c>
      <c r="Q57" s="1" t="s">
        <v>65</v>
      </c>
      <c r="R57" s="1" t="s">
        <v>64</v>
      </c>
      <c r="AV57" s="1" t="s">
        <v>53</v>
      </c>
      <c r="AW57" s="1" t="s">
        <v>302</v>
      </c>
      <c r="AX57" s="1" t="s">
        <v>53</v>
      </c>
      <c r="AY57" s="1" t="s">
        <v>53</v>
      </c>
      <c r="AZ57" s="1" t="s">
        <v>53</v>
      </c>
    </row>
    <row r="58" spans="1:52" ht="30" customHeight="1" x14ac:dyDescent="0.45">
      <c r="A58" s="20" t="s">
        <v>303</v>
      </c>
      <c r="B58" s="20" t="s">
        <v>304</v>
      </c>
      <c r="C58" s="20" t="s">
        <v>305</v>
      </c>
      <c r="D58" s="21">
        <v>2</v>
      </c>
      <c r="E58" s="23">
        <f>일위대가목록!E20</f>
        <v>164</v>
      </c>
      <c r="F58" s="26">
        <f>TRUNC(E58*D58,1)</f>
        <v>328</v>
      </c>
      <c r="G58" s="23">
        <f>일위대가목록!F20</f>
        <v>2311</v>
      </c>
      <c r="H58" s="26">
        <f>TRUNC(G58*D58,1)</f>
        <v>4622</v>
      </c>
      <c r="I58" s="23">
        <f>일위대가목록!G20</f>
        <v>92</v>
      </c>
      <c r="J58" s="26">
        <f>TRUNC(I58*D58,1)</f>
        <v>184</v>
      </c>
      <c r="K58" s="23">
        <f t="shared" si="6"/>
        <v>2567</v>
      </c>
      <c r="L58" s="26">
        <f t="shared" si="6"/>
        <v>5134</v>
      </c>
      <c r="M58" s="20" t="s">
        <v>306</v>
      </c>
      <c r="N58" s="1" t="s">
        <v>129</v>
      </c>
      <c r="O58" s="1" t="s">
        <v>307</v>
      </c>
      <c r="P58" s="1" t="s">
        <v>64</v>
      </c>
      <c r="Q58" s="1" t="s">
        <v>65</v>
      </c>
      <c r="R58" s="1" t="s">
        <v>65</v>
      </c>
      <c r="AV58" s="1" t="s">
        <v>53</v>
      </c>
      <c r="AW58" s="1" t="s">
        <v>308</v>
      </c>
      <c r="AX58" s="1" t="s">
        <v>53</v>
      </c>
      <c r="AY58" s="1" t="s">
        <v>53</v>
      </c>
      <c r="AZ58" s="1" t="s">
        <v>53</v>
      </c>
    </row>
    <row r="59" spans="1:52" ht="30" customHeight="1" x14ac:dyDescent="0.45">
      <c r="A59" s="20" t="s">
        <v>214</v>
      </c>
      <c r="B59" s="20" t="s">
        <v>53</v>
      </c>
      <c r="C59" s="20" t="s">
        <v>53</v>
      </c>
      <c r="D59" s="21"/>
      <c r="E59" s="23"/>
      <c r="F59" s="26">
        <f>TRUNC(SUMIF(N54:N58, N53, F54:F58),0)</f>
        <v>1153</v>
      </c>
      <c r="G59" s="23"/>
      <c r="H59" s="26">
        <f>TRUNC(SUMIF(N54:N58, N53, H54:H58),0)</f>
        <v>6504</v>
      </c>
      <c r="I59" s="23"/>
      <c r="J59" s="26">
        <f>TRUNC(SUMIF(N54:N58, N53, J54:J58),0)</f>
        <v>277</v>
      </c>
      <c r="K59" s="23"/>
      <c r="L59" s="26">
        <f>F59+H59+J59</f>
        <v>7934</v>
      </c>
      <c r="M59" s="20" t="s">
        <v>53</v>
      </c>
      <c r="N59" s="1" t="s">
        <v>74</v>
      </c>
      <c r="O59" s="1" t="s">
        <v>74</v>
      </c>
      <c r="P59" s="1" t="s">
        <v>53</v>
      </c>
      <c r="Q59" s="1" t="s">
        <v>53</v>
      </c>
      <c r="R59" s="1" t="s">
        <v>53</v>
      </c>
      <c r="AV59" s="1" t="s">
        <v>53</v>
      </c>
      <c r="AW59" s="1" t="s">
        <v>53</v>
      </c>
      <c r="AX59" s="1" t="s">
        <v>53</v>
      </c>
      <c r="AY59" s="1" t="s">
        <v>53</v>
      </c>
      <c r="AZ59" s="1" t="s">
        <v>53</v>
      </c>
    </row>
    <row r="60" spans="1:52" ht="30" customHeight="1" x14ac:dyDescent="0.45">
      <c r="A60" s="21"/>
      <c r="B60" s="21"/>
      <c r="C60" s="21"/>
      <c r="D60" s="21"/>
      <c r="E60" s="23"/>
      <c r="F60" s="26"/>
      <c r="G60" s="23"/>
      <c r="H60" s="26"/>
      <c r="I60" s="23"/>
      <c r="J60" s="26"/>
      <c r="K60" s="23"/>
      <c r="L60" s="26"/>
      <c r="M60" s="21"/>
    </row>
    <row r="61" spans="1:52" ht="30" customHeight="1" x14ac:dyDescent="0.45">
      <c r="A61" s="17" t="s">
        <v>309</v>
      </c>
      <c r="B61" s="18"/>
      <c r="C61" s="18"/>
      <c r="D61" s="18"/>
      <c r="E61" s="22"/>
      <c r="F61" s="25"/>
      <c r="G61" s="22"/>
      <c r="H61" s="25"/>
      <c r="I61" s="22"/>
      <c r="J61" s="25"/>
      <c r="K61" s="22"/>
      <c r="L61" s="25"/>
      <c r="M61" s="19"/>
      <c r="N61" s="1" t="s">
        <v>225</v>
      </c>
    </row>
    <row r="62" spans="1:52" ht="30" customHeight="1" x14ac:dyDescent="0.45">
      <c r="A62" s="20" t="s">
        <v>221</v>
      </c>
      <c r="B62" s="20" t="s">
        <v>222</v>
      </c>
      <c r="C62" s="20" t="s">
        <v>144</v>
      </c>
      <c r="D62" s="21">
        <v>0.25</v>
      </c>
      <c r="E62" s="23">
        <f>단가대비표!O6</f>
        <v>0</v>
      </c>
      <c r="F62" s="26">
        <f>TRUNC(E62*D62,1)</f>
        <v>0</v>
      </c>
      <c r="G62" s="23">
        <f>단가대비표!P6</f>
        <v>0</v>
      </c>
      <c r="H62" s="26">
        <f>TRUNC(G62*D62,1)</f>
        <v>0</v>
      </c>
      <c r="I62" s="23">
        <f>단가대비표!V6</f>
        <v>1375</v>
      </c>
      <c r="J62" s="26">
        <f>TRUNC(I62*D62,1)</f>
        <v>343.7</v>
      </c>
      <c r="K62" s="23">
        <f>TRUNC(E62+G62+I62,1)</f>
        <v>1375</v>
      </c>
      <c r="L62" s="26">
        <f>TRUNC(F62+H62+J62,1)</f>
        <v>343.7</v>
      </c>
      <c r="M62" s="20" t="s">
        <v>311</v>
      </c>
      <c r="N62" s="1" t="s">
        <v>225</v>
      </c>
      <c r="O62" s="1" t="s">
        <v>312</v>
      </c>
      <c r="P62" s="1" t="s">
        <v>65</v>
      </c>
      <c r="Q62" s="1" t="s">
        <v>65</v>
      </c>
      <c r="R62" s="1" t="s">
        <v>64</v>
      </c>
      <c r="AV62" s="1" t="s">
        <v>53</v>
      </c>
      <c r="AW62" s="1" t="s">
        <v>313</v>
      </c>
      <c r="AX62" s="1" t="s">
        <v>53</v>
      </c>
      <c r="AY62" s="1" t="s">
        <v>53</v>
      </c>
      <c r="AZ62" s="1" t="s">
        <v>53</v>
      </c>
    </row>
    <row r="63" spans="1:52" ht="30" customHeight="1" x14ac:dyDescent="0.45">
      <c r="A63" s="20" t="s">
        <v>214</v>
      </c>
      <c r="B63" s="20" t="s">
        <v>53</v>
      </c>
      <c r="C63" s="20" t="s">
        <v>53</v>
      </c>
      <c r="D63" s="21"/>
      <c r="E63" s="23"/>
      <c r="F63" s="26">
        <f>TRUNC(SUMIF(N62:N62, N61, F62:F62),0)</f>
        <v>0</v>
      </c>
      <c r="G63" s="23"/>
      <c r="H63" s="26">
        <f>TRUNC(SUMIF(N62:N62, N61, H62:H62),0)</f>
        <v>0</v>
      </c>
      <c r="I63" s="23"/>
      <c r="J63" s="26">
        <f>TRUNC(SUMIF(N62:N62, N61, J62:J62),0)</f>
        <v>343</v>
      </c>
      <c r="K63" s="23"/>
      <c r="L63" s="26">
        <f>F63+H63+J63</f>
        <v>343</v>
      </c>
      <c r="M63" s="20" t="s">
        <v>53</v>
      </c>
      <c r="N63" s="1" t="s">
        <v>74</v>
      </c>
      <c r="O63" s="1" t="s">
        <v>74</v>
      </c>
      <c r="P63" s="1" t="s">
        <v>53</v>
      </c>
      <c r="Q63" s="1" t="s">
        <v>53</v>
      </c>
      <c r="R63" s="1" t="s">
        <v>53</v>
      </c>
      <c r="AV63" s="1" t="s">
        <v>53</v>
      </c>
      <c r="AW63" s="1" t="s">
        <v>53</v>
      </c>
      <c r="AX63" s="1" t="s">
        <v>53</v>
      </c>
      <c r="AY63" s="1" t="s">
        <v>53</v>
      </c>
      <c r="AZ63" s="1" t="s">
        <v>53</v>
      </c>
    </row>
    <row r="64" spans="1:52" ht="30" customHeight="1" x14ac:dyDescent="0.45">
      <c r="A64" s="21"/>
      <c r="B64" s="21"/>
      <c r="C64" s="21"/>
      <c r="D64" s="21"/>
      <c r="E64" s="23"/>
      <c r="F64" s="26"/>
      <c r="G64" s="23"/>
      <c r="H64" s="26"/>
      <c r="I64" s="23"/>
      <c r="J64" s="26"/>
      <c r="K64" s="23"/>
      <c r="L64" s="26"/>
      <c r="M64" s="21"/>
    </row>
    <row r="65" spans="1:52" ht="30" customHeight="1" x14ac:dyDescent="0.45">
      <c r="A65" s="17" t="s">
        <v>314</v>
      </c>
      <c r="B65" s="18"/>
      <c r="C65" s="18"/>
      <c r="D65" s="18"/>
      <c r="E65" s="22"/>
      <c r="F65" s="25"/>
      <c r="G65" s="22"/>
      <c r="H65" s="25"/>
      <c r="I65" s="22"/>
      <c r="J65" s="25"/>
      <c r="K65" s="22"/>
      <c r="L65" s="25"/>
      <c r="M65" s="19"/>
      <c r="N65" s="1" t="s">
        <v>260</v>
      </c>
    </row>
    <row r="66" spans="1:52" ht="30" customHeight="1" x14ac:dyDescent="0.45">
      <c r="A66" s="20" t="s">
        <v>316</v>
      </c>
      <c r="B66" s="20" t="s">
        <v>317</v>
      </c>
      <c r="C66" s="20" t="s">
        <v>61</v>
      </c>
      <c r="D66" s="21">
        <v>1</v>
      </c>
      <c r="E66" s="23">
        <f>일위대가목록!E17</f>
        <v>15527</v>
      </c>
      <c r="F66" s="26">
        <f>TRUNC(E66*D66,1)</f>
        <v>15527</v>
      </c>
      <c r="G66" s="23">
        <f>일위대가목록!F17</f>
        <v>0</v>
      </c>
      <c r="H66" s="26">
        <f>TRUNC(G66*D66,1)</f>
        <v>0</v>
      </c>
      <c r="I66" s="23">
        <f>일위대가목록!G17</f>
        <v>0</v>
      </c>
      <c r="J66" s="26">
        <f>TRUNC(I66*D66,1)</f>
        <v>0</v>
      </c>
      <c r="K66" s="23">
        <f>TRUNC(E66+G66+I66,1)</f>
        <v>15527</v>
      </c>
      <c r="L66" s="26">
        <f>TRUNC(F66+H66+J66,1)</f>
        <v>15527</v>
      </c>
      <c r="M66" s="20" t="s">
        <v>318</v>
      </c>
      <c r="N66" s="1" t="s">
        <v>260</v>
      </c>
      <c r="O66" s="1" t="s">
        <v>319</v>
      </c>
      <c r="P66" s="1" t="s">
        <v>64</v>
      </c>
      <c r="Q66" s="1" t="s">
        <v>65</v>
      </c>
      <c r="R66" s="1" t="s">
        <v>65</v>
      </c>
      <c r="AV66" s="1" t="s">
        <v>53</v>
      </c>
      <c r="AW66" s="1" t="s">
        <v>320</v>
      </c>
      <c r="AX66" s="1" t="s">
        <v>53</v>
      </c>
      <c r="AY66" s="1" t="s">
        <v>53</v>
      </c>
      <c r="AZ66" s="1" t="s">
        <v>53</v>
      </c>
    </row>
    <row r="67" spans="1:52" ht="30" customHeight="1" x14ac:dyDescent="0.45">
      <c r="A67" s="20" t="s">
        <v>321</v>
      </c>
      <c r="B67" s="20" t="s">
        <v>322</v>
      </c>
      <c r="C67" s="20" t="s">
        <v>61</v>
      </c>
      <c r="D67" s="21">
        <v>1</v>
      </c>
      <c r="E67" s="23">
        <f>일위대가목록!E18</f>
        <v>0</v>
      </c>
      <c r="F67" s="26">
        <f>TRUNC(E67*D67,1)</f>
        <v>0</v>
      </c>
      <c r="G67" s="23">
        <f>일위대가목록!F18</f>
        <v>34461</v>
      </c>
      <c r="H67" s="26">
        <f>TRUNC(G67*D67,1)</f>
        <v>34461</v>
      </c>
      <c r="I67" s="23">
        <f>일위대가목록!G18</f>
        <v>344</v>
      </c>
      <c r="J67" s="26">
        <f>TRUNC(I67*D67,1)</f>
        <v>344</v>
      </c>
      <c r="K67" s="23">
        <f>TRUNC(E67+G67+I67,1)</f>
        <v>34805</v>
      </c>
      <c r="L67" s="26">
        <f>TRUNC(F67+H67+J67,1)</f>
        <v>34805</v>
      </c>
      <c r="M67" s="20" t="s">
        <v>323</v>
      </c>
      <c r="N67" s="1" t="s">
        <v>260</v>
      </c>
      <c r="O67" s="1" t="s">
        <v>324</v>
      </c>
      <c r="P67" s="1" t="s">
        <v>64</v>
      </c>
      <c r="Q67" s="1" t="s">
        <v>65</v>
      </c>
      <c r="R67" s="1" t="s">
        <v>65</v>
      </c>
      <c r="AV67" s="1" t="s">
        <v>53</v>
      </c>
      <c r="AW67" s="1" t="s">
        <v>325</v>
      </c>
      <c r="AX67" s="1" t="s">
        <v>53</v>
      </c>
      <c r="AY67" s="1" t="s">
        <v>53</v>
      </c>
      <c r="AZ67" s="1" t="s">
        <v>53</v>
      </c>
    </row>
    <row r="68" spans="1:52" ht="30" customHeight="1" x14ac:dyDescent="0.45">
      <c r="A68" s="20" t="s">
        <v>214</v>
      </c>
      <c r="B68" s="20" t="s">
        <v>53</v>
      </c>
      <c r="C68" s="20" t="s">
        <v>53</v>
      </c>
      <c r="D68" s="21"/>
      <c r="E68" s="23"/>
      <c r="F68" s="26">
        <f>TRUNC(SUMIF(N66:N67, N65, F66:F67),0)</f>
        <v>15527</v>
      </c>
      <c r="G68" s="23"/>
      <c r="H68" s="26">
        <f>TRUNC(SUMIF(N66:N67, N65, H66:H67),0)</f>
        <v>34461</v>
      </c>
      <c r="I68" s="23"/>
      <c r="J68" s="26">
        <f>TRUNC(SUMIF(N66:N67, N65, J66:J67),0)</f>
        <v>344</v>
      </c>
      <c r="K68" s="23"/>
      <c r="L68" s="26">
        <f>F68+H68+J68</f>
        <v>50332</v>
      </c>
      <c r="M68" s="20" t="s">
        <v>53</v>
      </c>
      <c r="N68" s="1" t="s">
        <v>74</v>
      </c>
      <c r="O68" s="1" t="s">
        <v>74</v>
      </c>
      <c r="P68" s="1" t="s">
        <v>53</v>
      </c>
      <c r="Q68" s="1" t="s">
        <v>53</v>
      </c>
      <c r="R68" s="1" t="s">
        <v>53</v>
      </c>
      <c r="AV68" s="1" t="s">
        <v>53</v>
      </c>
      <c r="AW68" s="1" t="s">
        <v>53</v>
      </c>
      <c r="AX68" s="1" t="s">
        <v>53</v>
      </c>
      <c r="AY68" s="1" t="s">
        <v>53</v>
      </c>
      <c r="AZ68" s="1" t="s">
        <v>53</v>
      </c>
    </row>
    <row r="69" spans="1:52" ht="30" customHeight="1" x14ac:dyDescent="0.45">
      <c r="A69" s="21"/>
      <c r="B69" s="21"/>
      <c r="C69" s="21"/>
      <c r="D69" s="21"/>
      <c r="E69" s="23"/>
      <c r="F69" s="26"/>
      <c r="G69" s="23"/>
      <c r="H69" s="26"/>
      <c r="I69" s="23"/>
      <c r="J69" s="26"/>
      <c r="K69" s="23"/>
      <c r="L69" s="26"/>
      <c r="M69" s="21"/>
    </row>
    <row r="70" spans="1:52" ht="30" customHeight="1" x14ac:dyDescent="0.45">
      <c r="A70" s="17" t="s">
        <v>326</v>
      </c>
      <c r="B70" s="18"/>
      <c r="C70" s="18"/>
      <c r="D70" s="18"/>
      <c r="E70" s="22"/>
      <c r="F70" s="25"/>
      <c r="G70" s="22"/>
      <c r="H70" s="25"/>
      <c r="I70" s="22"/>
      <c r="J70" s="25"/>
      <c r="K70" s="22"/>
      <c r="L70" s="25"/>
      <c r="M70" s="19"/>
      <c r="N70" s="1" t="s">
        <v>265</v>
      </c>
    </row>
    <row r="71" spans="1:52" ht="30" customHeight="1" x14ac:dyDescent="0.45">
      <c r="A71" s="20" t="s">
        <v>328</v>
      </c>
      <c r="B71" s="20" t="s">
        <v>329</v>
      </c>
      <c r="C71" s="20" t="s">
        <v>171</v>
      </c>
      <c r="D71" s="21">
        <v>346</v>
      </c>
      <c r="E71" s="23">
        <f>단가대비표!O16</f>
        <v>202.27</v>
      </c>
      <c r="F71" s="26">
        <f>TRUNC(E71*D71,1)</f>
        <v>69985.399999999994</v>
      </c>
      <c r="G71" s="23">
        <f>단가대비표!P16</f>
        <v>0</v>
      </c>
      <c r="H71" s="26">
        <f>TRUNC(G71*D71,1)</f>
        <v>0</v>
      </c>
      <c r="I71" s="23">
        <f>단가대비표!V16</f>
        <v>0</v>
      </c>
      <c r="J71" s="26">
        <f>TRUNC(I71*D71,1)</f>
        <v>0</v>
      </c>
      <c r="K71" s="23">
        <f t="shared" ref="K71:L73" si="7">TRUNC(E71+G71+I71,1)</f>
        <v>202.2</v>
      </c>
      <c r="L71" s="26">
        <f t="shared" si="7"/>
        <v>69985.399999999994</v>
      </c>
      <c r="M71" s="20" t="s">
        <v>330</v>
      </c>
      <c r="N71" s="1" t="s">
        <v>265</v>
      </c>
      <c r="O71" s="1" t="s">
        <v>331</v>
      </c>
      <c r="P71" s="1" t="s">
        <v>65</v>
      </c>
      <c r="Q71" s="1" t="s">
        <v>65</v>
      </c>
      <c r="R71" s="1" t="s">
        <v>64</v>
      </c>
      <c r="AV71" s="1" t="s">
        <v>53</v>
      </c>
      <c r="AW71" s="1" t="s">
        <v>332</v>
      </c>
      <c r="AX71" s="1" t="s">
        <v>53</v>
      </c>
      <c r="AY71" s="1" t="s">
        <v>53</v>
      </c>
      <c r="AZ71" s="1" t="s">
        <v>53</v>
      </c>
    </row>
    <row r="72" spans="1:52" ht="30" customHeight="1" x14ac:dyDescent="0.45">
      <c r="A72" s="20" t="s">
        <v>333</v>
      </c>
      <c r="B72" s="20" t="s">
        <v>329</v>
      </c>
      <c r="C72" s="20" t="s">
        <v>69</v>
      </c>
      <c r="D72" s="21">
        <v>0.51749999999999996</v>
      </c>
      <c r="E72" s="23">
        <f>단가대비표!O8</f>
        <v>60000</v>
      </c>
      <c r="F72" s="26">
        <f>TRUNC(E72*D72,1)</f>
        <v>31050</v>
      </c>
      <c r="G72" s="23">
        <f>단가대비표!P8</f>
        <v>0</v>
      </c>
      <c r="H72" s="26">
        <f>TRUNC(G72*D72,1)</f>
        <v>0</v>
      </c>
      <c r="I72" s="23">
        <f>단가대비표!V8</f>
        <v>0</v>
      </c>
      <c r="J72" s="26">
        <f>TRUNC(I72*D72,1)</f>
        <v>0</v>
      </c>
      <c r="K72" s="23">
        <f t="shared" si="7"/>
        <v>60000</v>
      </c>
      <c r="L72" s="26">
        <f t="shared" si="7"/>
        <v>31050</v>
      </c>
      <c r="M72" s="20" t="s">
        <v>330</v>
      </c>
      <c r="N72" s="1" t="s">
        <v>265</v>
      </c>
      <c r="O72" s="1" t="s">
        <v>334</v>
      </c>
      <c r="P72" s="1" t="s">
        <v>65</v>
      </c>
      <c r="Q72" s="1" t="s">
        <v>65</v>
      </c>
      <c r="R72" s="1" t="s">
        <v>64</v>
      </c>
      <c r="AV72" s="1" t="s">
        <v>53</v>
      </c>
      <c r="AW72" s="1" t="s">
        <v>335</v>
      </c>
      <c r="AX72" s="1" t="s">
        <v>53</v>
      </c>
      <c r="AY72" s="1" t="s">
        <v>53</v>
      </c>
      <c r="AZ72" s="1" t="s">
        <v>53</v>
      </c>
    </row>
    <row r="73" spans="1:52" ht="30" customHeight="1" x14ac:dyDescent="0.45">
      <c r="A73" s="20" t="s">
        <v>336</v>
      </c>
      <c r="B73" s="20" t="s">
        <v>337</v>
      </c>
      <c r="C73" s="20" t="s">
        <v>69</v>
      </c>
      <c r="D73" s="21">
        <v>0.59470000000000001</v>
      </c>
      <c r="E73" s="23">
        <f>단가대비표!O7</f>
        <v>34000</v>
      </c>
      <c r="F73" s="26">
        <f>TRUNC(E73*D73,1)</f>
        <v>20219.8</v>
      </c>
      <c r="G73" s="23">
        <f>단가대비표!P7</f>
        <v>0</v>
      </c>
      <c r="H73" s="26">
        <f>TRUNC(G73*D73,1)</f>
        <v>0</v>
      </c>
      <c r="I73" s="23">
        <f>단가대비표!V7</f>
        <v>0</v>
      </c>
      <c r="J73" s="26">
        <f>TRUNC(I73*D73,1)</f>
        <v>0</v>
      </c>
      <c r="K73" s="23">
        <f t="shared" si="7"/>
        <v>34000</v>
      </c>
      <c r="L73" s="26">
        <f t="shared" si="7"/>
        <v>20219.8</v>
      </c>
      <c r="M73" s="20" t="s">
        <v>330</v>
      </c>
      <c r="N73" s="1" t="s">
        <v>265</v>
      </c>
      <c r="O73" s="1" t="s">
        <v>338</v>
      </c>
      <c r="P73" s="1" t="s">
        <v>65</v>
      </c>
      <c r="Q73" s="1" t="s">
        <v>65</v>
      </c>
      <c r="R73" s="1" t="s">
        <v>64</v>
      </c>
      <c r="AV73" s="1" t="s">
        <v>53</v>
      </c>
      <c r="AW73" s="1" t="s">
        <v>339</v>
      </c>
      <c r="AX73" s="1" t="s">
        <v>53</v>
      </c>
      <c r="AY73" s="1" t="s">
        <v>53</v>
      </c>
      <c r="AZ73" s="1" t="s">
        <v>53</v>
      </c>
    </row>
    <row r="74" spans="1:52" ht="30" customHeight="1" x14ac:dyDescent="0.45">
      <c r="A74" s="20" t="s">
        <v>214</v>
      </c>
      <c r="B74" s="20" t="s">
        <v>53</v>
      </c>
      <c r="C74" s="20" t="s">
        <v>53</v>
      </c>
      <c r="D74" s="21"/>
      <c r="E74" s="23"/>
      <c r="F74" s="26">
        <f>TRUNC(SUMIF(N71:N73, N70, F71:F73),0)</f>
        <v>121255</v>
      </c>
      <c r="G74" s="23"/>
      <c r="H74" s="26">
        <f>TRUNC(SUMIF(N71:N73, N70, H71:H73),0)</f>
        <v>0</v>
      </c>
      <c r="I74" s="23"/>
      <c r="J74" s="26">
        <f>TRUNC(SUMIF(N71:N73, N70, J71:J73),0)</f>
        <v>0</v>
      </c>
      <c r="K74" s="23"/>
      <c r="L74" s="26">
        <f>F74+H74+J74</f>
        <v>121255</v>
      </c>
      <c r="M74" s="20" t="s">
        <v>53</v>
      </c>
      <c r="N74" s="1" t="s">
        <v>74</v>
      </c>
      <c r="O74" s="1" t="s">
        <v>74</v>
      </c>
      <c r="P74" s="1" t="s">
        <v>53</v>
      </c>
      <c r="Q74" s="1" t="s">
        <v>53</v>
      </c>
      <c r="R74" s="1" t="s">
        <v>53</v>
      </c>
      <c r="AV74" s="1" t="s">
        <v>53</v>
      </c>
      <c r="AW74" s="1" t="s">
        <v>53</v>
      </c>
      <c r="AX74" s="1" t="s">
        <v>53</v>
      </c>
      <c r="AY74" s="1" t="s">
        <v>53</v>
      </c>
      <c r="AZ74" s="1" t="s">
        <v>53</v>
      </c>
    </row>
    <row r="75" spans="1:52" ht="30" customHeight="1" x14ac:dyDescent="0.45">
      <c r="A75" s="21"/>
      <c r="B75" s="21"/>
      <c r="C75" s="21"/>
      <c r="D75" s="21"/>
      <c r="E75" s="23"/>
      <c r="F75" s="26"/>
      <c r="G75" s="23"/>
      <c r="H75" s="26"/>
      <c r="I75" s="23"/>
      <c r="J75" s="26"/>
      <c r="K75" s="23"/>
      <c r="L75" s="26"/>
      <c r="M75" s="21"/>
    </row>
    <row r="76" spans="1:52" ht="30" customHeight="1" x14ac:dyDescent="0.45">
      <c r="A76" s="17" t="s">
        <v>340</v>
      </c>
      <c r="B76" s="18"/>
      <c r="C76" s="18"/>
      <c r="D76" s="18"/>
      <c r="E76" s="22"/>
      <c r="F76" s="25"/>
      <c r="G76" s="22"/>
      <c r="H76" s="25"/>
      <c r="I76" s="22"/>
      <c r="J76" s="25"/>
      <c r="K76" s="22"/>
      <c r="L76" s="25"/>
      <c r="M76" s="19"/>
      <c r="N76" s="1" t="s">
        <v>270</v>
      </c>
    </row>
    <row r="77" spans="1:52" ht="30" customHeight="1" x14ac:dyDescent="0.45">
      <c r="A77" s="20" t="s">
        <v>342</v>
      </c>
      <c r="B77" s="20" t="s">
        <v>202</v>
      </c>
      <c r="C77" s="20" t="s">
        <v>203</v>
      </c>
      <c r="D77" s="21">
        <v>0.85</v>
      </c>
      <c r="E77" s="23">
        <f>단가대비표!O32</f>
        <v>0</v>
      </c>
      <c r="F77" s="26">
        <f>TRUNC(E77*D77,1)</f>
        <v>0</v>
      </c>
      <c r="G77" s="23">
        <f>단가대비표!P32</f>
        <v>273540</v>
      </c>
      <c r="H77" s="26">
        <f>TRUNC(G77*D77,1)</f>
        <v>232509</v>
      </c>
      <c r="I77" s="23">
        <f>단가대비표!V32</f>
        <v>0</v>
      </c>
      <c r="J77" s="26">
        <f>TRUNC(I77*D77,1)</f>
        <v>0</v>
      </c>
      <c r="K77" s="23">
        <f>TRUNC(E77+G77+I77,1)</f>
        <v>273540</v>
      </c>
      <c r="L77" s="26">
        <f>TRUNC(F77+H77+J77,1)</f>
        <v>232509</v>
      </c>
      <c r="M77" s="20" t="s">
        <v>53</v>
      </c>
      <c r="N77" s="1" t="s">
        <v>270</v>
      </c>
      <c r="O77" s="1" t="s">
        <v>343</v>
      </c>
      <c r="P77" s="1" t="s">
        <v>65</v>
      </c>
      <c r="Q77" s="1" t="s">
        <v>65</v>
      </c>
      <c r="R77" s="1" t="s">
        <v>64</v>
      </c>
      <c r="AV77" s="1" t="s">
        <v>53</v>
      </c>
      <c r="AW77" s="1" t="s">
        <v>344</v>
      </c>
      <c r="AX77" s="1" t="s">
        <v>53</v>
      </c>
      <c r="AY77" s="1" t="s">
        <v>53</v>
      </c>
      <c r="AZ77" s="1" t="s">
        <v>53</v>
      </c>
    </row>
    <row r="78" spans="1:52" ht="30" customHeight="1" x14ac:dyDescent="0.45">
      <c r="A78" s="20" t="s">
        <v>206</v>
      </c>
      <c r="B78" s="20" t="s">
        <v>202</v>
      </c>
      <c r="C78" s="20" t="s">
        <v>203</v>
      </c>
      <c r="D78" s="21">
        <v>0.82</v>
      </c>
      <c r="E78" s="23">
        <f>단가대비표!O27</f>
        <v>0</v>
      </c>
      <c r="F78" s="26">
        <f>TRUNC(E78*D78,1)</f>
        <v>0</v>
      </c>
      <c r="G78" s="23">
        <f>단가대비표!P27</f>
        <v>172068</v>
      </c>
      <c r="H78" s="26">
        <f>TRUNC(G78*D78,1)</f>
        <v>141095.70000000001</v>
      </c>
      <c r="I78" s="23">
        <f>단가대비표!V27</f>
        <v>0</v>
      </c>
      <c r="J78" s="26">
        <f>TRUNC(I78*D78,1)</f>
        <v>0</v>
      </c>
      <c r="K78" s="23">
        <f>TRUNC(E78+G78+I78,1)</f>
        <v>172068</v>
      </c>
      <c r="L78" s="26">
        <f>TRUNC(F78+H78+J78,1)</f>
        <v>141095.70000000001</v>
      </c>
      <c r="M78" s="20" t="s">
        <v>53</v>
      </c>
      <c r="N78" s="1" t="s">
        <v>270</v>
      </c>
      <c r="O78" s="1" t="s">
        <v>207</v>
      </c>
      <c r="P78" s="1" t="s">
        <v>65</v>
      </c>
      <c r="Q78" s="1" t="s">
        <v>65</v>
      </c>
      <c r="R78" s="1" t="s">
        <v>64</v>
      </c>
      <c r="AV78" s="1" t="s">
        <v>53</v>
      </c>
      <c r="AW78" s="1" t="s">
        <v>345</v>
      </c>
      <c r="AX78" s="1" t="s">
        <v>53</v>
      </c>
      <c r="AY78" s="1" t="s">
        <v>53</v>
      </c>
      <c r="AZ78" s="1" t="s">
        <v>53</v>
      </c>
    </row>
    <row r="79" spans="1:52" ht="30" customHeight="1" x14ac:dyDescent="0.45">
      <c r="A79" s="20" t="s">
        <v>214</v>
      </c>
      <c r="B79" s="20" t="s">
        <v>53</v>
      </c>
      <c r="C79" s="20" t="s">
        <v>53</v>
      </c>
      <c r="D79" s="21"/>
      <c r="E79" s="23"/>
      <c r="F79" s="26">
        <f>TRUNC(SUMIF(N77:N78, N76, F77:F78),0)</f>
        <v>0</v>
      </c>
      <c r="G79" s="23"/>
      <c r="H79" s="26">
        <f>TRUNC(SUMIF(N77:N78, N76, H77:H78),0)</f>
        <v>373604</v>
      </c>
      <c r="I79" s="23"/>
      <c r="J79" s="26">
        <f>TRUNC(SUMIF(N77:N78, N76, J77:J78),0)</f>
        <v>0</v>
      </c>
      <c r="K79" s="23"/>
      <c r="L79" s="26">
        <f>F79+H79+J79</f>
        <v>373604</v>
      </c>
      <c r="M79" s="20" t="s">
        <v>53</v>
      </c>
      <c r="N79" s="1" t="s">
        <v>74</v>
      </c>
      <c r="O79" s="1" t="s">
        <v>74</v>
      </c>
      <c r="P79" s="1" t="s">
        <v>53</v>
      </c>
      <c r="Q79" s="1" t="s">
        <v>53</v>
      </c>
      <c r="R79" s="1" t="s">
        <v>53</v>
      </c>
      <c r="AV79" s="1" t="s">
        <v>53</v>
      </c>
      <c r="AW79" s="1" t="s">
        <v>53</v>
      </c>
      <c r="AX79" s="1" t="s">
        <v>53</v>
      </c>
      <c r="AY79" s="1" t="s">
        <v>53</v>
      </c>
      <c r="AZ79" s="1" t="s">
        <v>53</v>
      </c>
    </row>
    <row r="80" spans="1:52" ht="30" customHeight="1" x14ac:dyDescent="0.45">
      <c r="A80" s="21"/>
      <c r="B80" s="21"/>
      <c r="C80" s="21"/>
      <c r="D80" s="21"/>
      <c r="E80" s="23"/>
      <c r="F80" s="26"/>
      <c r="G80" s="23"/>
      <c r="H80" s="26"/>
      <c r="I80" s="23"/>
      <c r="J80" s="26"/>
      <c r="K80" s="23"/>
      <c r="L80" s="26"/>
      <c r="M80" s="21"/>
    </row>
    <row r="81" spans="1:52" ht="30" customHeight="1" x14ac:dyDescent="0.45">
      <c r="A81" s="17" t="s">
        <v>346</v>
      </c>
      <c r="B81" s="18"/>
      <c r="C81" s="18"/>
      <c r="D81" s="18"/>
      <c r="E81" s="22"/>
      <c r="F81" s="25"/>
      <c r="G81" s="22"/>
      <c r="H81" s="25"/>
      <c r="I81" s="22"/>
      <c r="J81" s="25"/>
      <c r="K81" s="22"/>
      <c r="L81" s="25"/>
      <c r="M81" s="19"/>
      <c r="N81" s="1" t="s">
        <v>319</v>
      </c>
    </row>
    <row r="82" spans="1:52" ht="30" customHeight="1" x14ac:dyDescent="0.45">
      <c r="A82" s="20" t="s">
        <v>347</v>
      </c>
      <c r="B82" s="20" t="s">
        <v>348</v>
      </c>
      <c r="C82" s="20" t="s">
        <v>61</v>
      </c>
      <c r="D82" s="21">
        <v>1.03</v>
      </c>
      <c r="E82" s="23">
        <f>단가대비표!O9</f>
        <v>15016.12</v>
      </c>
      <c r="F82" s="26">
        <f>TRUNC(E82*D82,1)</f>
        <v>15466.6</v>
      </c>
      <c r="G82" s="23">
        <f>단가대비표!P9</f>
        <v>0</v>
      </c>
      <c r="H82" s="26">
        <f>TRUNC(G82*D82,1)</f>
        <v>0</v>
      </c>
      <c r="I82" s="23">
        <f>단가대비표!V9</f>
        <v>0</v>
      </c>
      <c r="J82" s="26">
        <f>TRUNC(I82*D82,1)</f>
        <v>0</v>
      </c>
      <c r="K82" s="23">
        <f t="shared" ref="K82:L85" si="8">TRUNC(E82+G82+I82,1)</f>
        <v>15016.1</v>
      </c>
      <c r="L82" s="26">
        <f t="shared" si="8"/>
        <v>15466.6</v>
      </c>
      <c r="M82" s="20" t="s">
        <v>349</v>
      </c>
      <c r="N82" s="1" t="s">
        <v>53</v>
      </c>
      <c r="O82" s="1" t="s">
        <v>350</v>
      </c>
      <c r="P82" s="1" t="s">
        <v>65</v>
      </c>
      <c r="Q82" s="1" t="s">
        <v>65</v>
      </c>
      <c r="R82" s="1" t="s">
        <v>64</v>
      </c>
      <c r="V82">
        <v>1</v>
      </c>
      <c r="AV82" s="1" t="s">
        <v>53</v>
      </c>
      <c r="AW82" s="1" t="s">
        <v>351</v>
      </c>
      <c r="AX82" s="1" t="s">
        <v>53</v>
      </c>
      <c r="AY82" s="1" t="s">
        <v>352</v>
      </c>
      <c r="AZ82" s="1" t="s">
        <v>53</v>
      </c>
    </row>
    <row r="83" spans="1:52" ht="30" customHeight="1" x14ac:dyDescent="0.45">
      <c r="A83" s="20" t="s">
        <v>353</v>
      </c>
      <c r="B83" s="20" t="s">
        <v>354</v>
      </c>
      <c r="C83" s="20" t="s">
        <v>69</v>
      </c>
      <c r="D83" s="21">
        <v>3.7999999999999999E-2</v>
      </c>
      <c r="E83" s="23">
        <f>단가대비표!O15</f>
        <v>718740</v>
      </c>
      <c r="F83" s="26">
        <f>TRUNC(E83*D83,1)</f>
        <v>27312.1</v>
      </c>
      <c r="G83" s="23">
        <f>단가대비표!P15</f>
        <v>0</v>
      </c>
      <c r="H83" s="26">
        <f>TRUNC(G83*D83,1)</f>
        <v>0</v>
      </c>
      <c r="I83" s="23">
        <f>단가대비표!V15</f>
        <v>0</v>
      </c>
      <c r="J83" s="26">
        <f>TRUNC(I83*D83,1)</f>
        <v>0</v>
      </c>
      <c r="K83" s="23">
        <f t="shared" si="8"/>
        <v>718740</v>
      </c>
      <c r="L83" s="26">
        <f t="shared" si="8"/>
        <v>27312.1</v>
      </c>
      <c r="M83" s="20" t="s">
        <v>349</v>
      </c>
      <c r="N83" s="1" t="s">
        <v>53</v>
      </c>
      <c r="O83" s="1" t="s">
        <v>355</v>
      </c>
      <c r="P83" s="1" t="s">
        <v>65</v>
      </c>
      <c r="Q83" s="1" t="s">
        <v>65</v>
      </c>
      <c r="R83" s="1" t="s">
        <v>64</v>
      </c>
      <c r="V83">
        <v>1</v>
      </c>
      <c r="AV83" s="1" t="s">
        <v>53</v>
      </c>
      <c r="AW83" s="1" t="s">
        <v>356</v>
      </c>
      <c r="AX83" s="1" t="s">
        <v>53</v>
      </c>
      <c r="AY83" s="1" t="s">
        <v>352</v>
      </c>
      <c r="AZ83" s="1" t="s">
        <v>53</v>
      </c>
    </row>
    <row r="84" spans="1:52" ht="30" customHeight="1" x14ac:dyDescent="0.45">
      <c r="A84" s="20" t="s">
        <v>357</v>
      </c>
      <c r="B84" s="20" t="s">
        <v>358</v>
      </c>
      <c r="C84" s="20" t="s">
        <v>211</v>
      </c>
      <c r="D84" s="21">
        <v>1</v>
      </c>
      <c r="E84" s="23">
        <f>TRUNC(SUMIF(V82:V85, RIGHTB(O84, 1), F82:F85)*U84, 2)</f>
        <v>13988.63</v>
      </c>
      <c r="F84" s="26">
        <f>TRUNC(E84*D84,1)</f>
        <v>13988.6</v>
      </c>
      <c r="G84" s="23">
        <v>0</v>
      </c>
      <c r="H84" s="26">
        <f>TRUNC(G84*D84,1)</f>
        <v>0</v>
      </c>
      <c r="I84" s="23">
        <v>0</v>
      </c>
      <c r="J84" s="26">
        <f>TRUNC(I84*D84,1)</f>
        <v>0</v>
      </c>
      <c r="K84" s="23">
        <f t="shared" si="8"/>
        <v>13988.6</v>
      </c>
      <c r="L84" s="26">
        <f t="shared" si="8"/>
        <v>13988.6</v>
      </c>
      <c r="M84" s="20" t="s">
        <v>53</v>
      </c>
      <c r="N84" s="1" t="s">
        <v>319</v>
      </c>
      <c r="O84" s="1" t="s">
        <v>212</v>
      </c>
      <c r="P84" s="1" t="s">
        <v>65</v>
      </c>
      <c r="Q84" s="1" t="s">
        <v>65</v>
      </c>
      <c r="R84" s="1" t="s">
        <v>65</v>
      </c>
      <c r="S84">
        <v>0</v>
      </c>
      <c r="T84">
        <v>0</v>
      </c>
      <c r="U84">
        <v>0.32700000000000001</v>
      </c>
      <c r="W84">
        <v>2</v>
      </c>
      <c r="AV84" s="1" t="s">
        <v>53</v>
      </c>
      <c r="AW84" s="1" t="s">
        <v>359</v>
      </c>
      <c r="AX84" s="1" t="s">
        <v>53</v>
      </c>
      <c r="AY84" s="1" t="s">
        <v>53</v>
      </c>
      <c r="AZ84" s="1" t="s">
        <v>53</v>
      </c>
    </row>
    <row r="85" spans="1:52" ht="30" customHeight="1" x14ac:dyDescent="0.45">
      <c r="A85" s="20" t="s">
        <v>360</v>
      </c>
      <c r="B85" s="20" t="s">
        <v>361</v>
      </c>
      <c r="C85" s="20" t="s">
        <v>211</v>
      </c>
      <c r="D85" s="21">
        <v>1</v>
      </c>
      <c r="E85" s="23">
        <f>TRUNC(SUMIF(W82:W85, RIGHTB(O85, 1), F82:F85)*U85, 2)</f>
        <v>1538.74</v>
      </c>
      <c r="F85" s="26">
        <f>TRUNC(E85*D85,1)</f>
        <v>1538.7</v>
      </c>
      <c r="G85" s="23">
        <v>0</v>
      </c>
      <c r="H85" s="26">
        <f>TRUNC(G85*D85,1)</f>
        <v>0</v>
      </c>
      <c r="I85" s="23">
        <v>0</v>
      </c>
      <c r="J85" s="26">
        <f>TRUNC(I85*D85,1)</f>
        <v>0</v>
      </c>
      <c r="K85" s="23">
        <f t="shared" si="8"/>
        <v>1538.7</v>
      </c>
      <c r="L85" s="26">
        <f t="shared" si="8"/>
        <v>1538.7</v>
      </c>
      <c r="M85" s="20" t="s">
        <v>53</v>
      </c>
      <c r="N85" s="1" t="s">
        <v>319</v>
      </c>
      <c r="O85" s="1" t="s">
        <v>241</v>
      </c>
      <c r="P85" s="1" t="s">
        <v>65</v>
      </c>
      <c r="Q85" s="1" t="s">
        <v>65</v>
      </c>
      <c r="R85" s="1" t="s">
        <v>65</v>
      </c>
      <c r="S85">
        <v>0</v>
      </c>
      <c r="T85">
        <v>0</v>
      </c>
      <c r="U85">
        <v>0.11</v>
      </c>
      <c r="AV85" s="1" t="s">
        <v>53</v>
      </c>
      <c r="AW85" s="1" t="s">
        <v>362</v>
      </c>
      <c r="AX85" s="1" t="s">
        <v>53</v>
      </c>
      <c r="AY85" s="1" t="s">
        <v>53</v>
      </c>
      <c r="AZ85" s="1" t="s">
        <v>53</v>
      </c>
    </row>
    <row r="86" spans="1:52" ht="30" customHeight="1" x14ac:dyDescent="0.45">
      <c r="A86" s="20" t="s">
        <v>214</v>
      </c>
      <c r="B86" s="20" t="s">
        <v>53</v>
      </c>
      <c r="C86" s="20" t="s">
        <v>53</v>
      </c>
      <c r="D86" s="21"/>
      <c r="E86" s="23"/>
      <c r="F86" s="26">
        <f>TRUNC(SUMIF(N82:N85, N81, F82:F85),0)</f>
        <v>15527</v>
      </c>
      <c r="G86" s="23"/>
      <c r="H86" s="26">
        <f>TRUNC(SUMIF(N82:N85, N81, H82:H85),0)</f>
        <v>0</v>
      </c>
      <c r="I86" s="23"/>
      <c r="J86" s="26">
        <f>TRUNC(SUMIF(N82:N85, N81, J82:J85),0)</f>
        <v>0</v>
      </c>
      <c r="K86" s="23"/>
      <c r="L86" s="26">
        <f>F86+H86+J86</f>
        <v>15527</v>
      </c>
      <c r="M86" s="20" t="s">
        <v>53</v>
      </c>
      <c r="N86" s="1" t="s">
        <v>74</v>
      </c>
      <c r="O86" s="1" t="s">
        <v>74</v>
      </c>
      <c r="P86" s="1" t="s">
        <v>53</v>
      </c>
      <c r="Q86" s="1" t="s">
        <v>53</v>
      </c>
      <c r="R86" s="1" t="s">
        <v>53</v>
      </c>
      <c r="AV86" s="1" t="s">
        <v>53</v>
      </c>
      <c r="AW86" s="1" t="s">
        <v>53</v>
      </c>
      <c r="AX86" s="1" t="s">
        <v>53</v>
      </c>
      <c r="AY86" s="1" t="s">
        <v>53</v>
      </c>
      <c r="AZ86" s="1" t="s">
        <v>53</v>
      </c>
    </row>
    <row r="87" spans="1:52" ht="30" customHeight="1" x14ac:dyDescent="0.45">
      <c r="A87" s="21"/>
      <c r="B87" s="21"/>
      <c r="C87" s="21"/>
      <c r="D87" s="21"/>
      <c r="E87" s="23"/>
      <c r="F87" s="26"/>
      <c r="G87" s="23"/>
      <c r="H87" s="26"/>
      <c r="I87" s="23"/>
      <c r="J87" s="26"/>
      <c r="K87" s="23"/>
      <c r="L87" s="26"/>
      <c r="M87" s="21"/>
    </row>
    <row r="88" spans="1:52" ht="30" customHeight="1" x14ac:dyDescent="0.45">
      <c r="A88" s="17" t="s">
        <v>363</v>
      </c>
      <c r="B88" s="18"/>
      <c r="C88" s="18"/>
      <c r="D88" s="18"/>
      <c r="E88" s="22"/>
      <c r="F88" s="25"/>
      <c r="G88" s="22"/>
      <c r="H88" s="25"/>
      <c r="I88" s="22"/>
      <c r="J88" s="25"/>
      <c r="K88" s="22"/>
      <c r="L88" s="25"/>
      <c r="M88" s="19"/>
      <c r="N88" s="1" t="s">
        <v>324</v>
      </c>
    </row>
    <row r="89" spans="1:52" ht="30" customHeight="1" x14ac:dyDescent="0.45">
      <c r="A89" s="20" t="s">
        <v>364</v>
      </c>
      <c r="B89" s="20" t="s">
        <v>202</v>
      </c>
      <c r="C89" s="20" t="s">
        <v>203</v>
      </c>
      <c r="D89" s="21">
        <v>0.1</v>
      </c>
      <c r="E89" s="23">
        <f>단가대비표!O29</f>
        <v>0</v>
      </c>
      <c r="F89" s="26">
        <f>TRUNC(E89*D89,1)</f>
        <v>0</v>
      </c>
      <c r="G89" s="23">
        <f>단가대비표!P29</f>
        <v>275790</v>
      </c>
      <c r="H89" s="26">
        <f>TRUNC(G89*D89,1)</f>
        <v>27579</v>
      </c>
      <c r="I89" s="23">
        <f>단가대비표!V29</f>
        <v>0</v>
      </c>
      <c r="J89" s="26">
        <f>TRUNC(I89*D89,1)</f>
        <v>0</v>
      </c>
      <c r="K89" s="23">
        <f t="shared" ref="K89:L91" si="9">TRUNC(E89+G89+I89,1)</f>
        <v>275790</v>
      </c>
      <c r="L89" s="26">
        <f t="shared" si="9"/>
        <v>27579</v>
      </c>
      <c r="M89" s="20" t="s">
        <v>53</v>
      </c>
      <c r="N89" s="1" t="s">
        <v>324</v>
      </c>
      <c r="O89" s="1" t="s">
        <v>365</v>
      </c>
      <c r="P89" s="1" t="s">
        <v>65</v>
      </c>
      <c r="Q89" s="1" t="s">
        <v>65</v>
      </c>
      <c r="R89" s="1" t="s">
        <v>64</v>
      </c>
      <c r="V89">
        <v>1</v>
      </c>
      <c r="AV89" s="1" t="s">
        <v>53</v>
      </c>
      <c r="AW89" s="1" t="s">
        <v>366</v>
      </c>
      <c r="AX89" s="1" t="s">
        <v>53</v>
      </c>
      <c r="AY89" s="1" t="s">
        <v>53</v>
      </c>
      <c r="AZ89" s="1" t="s">
        <v>53</v>
      </c>
    </row>
    <row r="90" spans="1:52" ht="30" customHeight="1" x14ac:dyDescent="0.45">
      <c r="A90" s="20" t="s">
        <v>206</v>
      </c>
      <c r="B90" s="20" t="s">
        <v>202</v>
      </c>
      <c r="C90" s="20" t="s">
        <v>203</v>
      </c>
      <c r="D90" s="21">
        <v>0.04</v>
      </c>
      <c r="E90" s="23">
        <f>단가대비표!O27</f>
        <v>0</v>
      </c>
      <c r="F90" s="26">
        <f>TRUNC(E90*D90,1)</f>
        <v>0</v>
      </c>
      <c r="G90" s="23">
        <f>단가대비표!P27</f>
        <v>172068</v>
      </c>
      <c r="H90" s="26">
        <f>TRUNC(G90*D90,1)</f>
        <v>6882.7</v>
      </c>
      <c r="I90" s="23">
        <f>단가대비표!V27</f>
        <v>0</v>
      </c>
      <c r="J90" s="26">
        <f>TRUNC(I90*D90,1)</f>
        <v>0</v>
      </c>
      <c r="K90" s="23">
        <f t="shared" si="9"/>
        <v>172068</v>
      </c>
      <c r="L90" s="26">
        <f t="shared" si="9"/>
        <v>6882.7</v>
      </c>
      <c r="M90" s="20" t="s">
        <v>53</v>
      </c>
      <c r="N90" s="1" t="s">
        <v>324</v>
      </c>
      <c r="O90" s="1" t="s">
        <v>207</v>
      </c>
      <c r="P90" s="1" t="s">
        <v>65</v>
      </c>
      <c r="Q90" s="1" t="s">
        <v>65</v>
      </c>
      <c r="R90" s="1" t="s">
        <v>64</v>
      </c>
      <c r="V90">
        <v>1</v>
      </c>
      <c r="AV90" s="1" t="s">
        <v>53</v>
      </c>
      <c r="AW90" s="1" t="s">
        <v>367</v>
      </c>
      <c r="AX90" s="1" t="s">
        <v>53</v>
      </c>
      <c r="AY90" s="1" t="s">
        <v>53</v>
      </c>
      <c r="AZ90" s="1" t="s">
        <v>53</v>
      </c>
    </row>
    <row r="91" spans="1:52" ht="30" customHeight="1" x14ac:dyDescent="0.45">
      <c r="A91" s="20" t="s">
        <v>209</v>
      </c>
      <c r="B91" s="20" t="s">
        <v>228</v>
      </c>
      <c r="C91" s="20" t="s">
        <v>211</v>
      </c>
      <c r="D91" s="21">
        <v>1</v>
      </c>
      <c r="E91" s="23">
        <v>0</v>
      </c>
      <c r="F91" s="26">
        <f>TRUNC(E91*D91,1)</f>
        <v>0</v>
      </c>
      <c r="G91" s="23">
        <v>0</v>
      </c>
      <c r="H91" s="26">
        <f>TRUNC(G91*D91,1)</f>
        <v>0</v>
      </c>
      <c r="I91" s="23">
        <f>TRUNC(SUMIF(V89:V91, RIGHTB(O91, 1), H89:H91)*U91, 2)</f>
        <v>344.61</v>
      </c>
      <c r="J91" s="26">
        <f>TRUNC(I91*D91,1)</f>
        <v>344.6</v>
      </c>
      <c r="K91" s="23">
        <f t="shared" si="9"/>
        <v>344.6</v>
      </c>
      <c r="L91" s="26">
        <f t="shared" si="9"/>
        <v>344.6</v>
      </c>
      <c r="M91" s="20" t="s">
        <v>53</v>
      </c>
      <c r="N91" s="1" t="s">
        <v>324</v>
      </c>
      <c r="O91" s="1" t="s">
        <v>212</v>
      </c>
      <c r="P91" s="1" t="s">
        <v>65</v>
      </c>
      <c r="Q91" s="1" t="s">
        <v>65</v>
      </c>
      <c r="R91" s="1" t="s">
        <v>65</v>
      </c>
      <c r="S91">
        <v>1</v>
      </c>
      <c r="T91">
        <v>2</v>
      </c>
      <c r="U91">
        <v>0.01</v>
      </c>
      <c r="AV91" s="1" t="s">
        <v>53</v>
      </c>
      <c r="AW91" s="1" t="s">
        <v>368</v>
      </c>
      <c r="AX91" s="1" t="s">
        <v>53</v>
      </c>
      <c r="AY91" s="1" t="s">
        <v>53</v>
      </c>
      <c r="AZ91" s="1" t="s">
        <v>53</v>
      </c>
    </row>
    <row r="92" spans="1:52" ht="30" customHeight="1" x14ac:dyDescent="0.45">
      <c r="A92" s="20" t="s">
        <v>214</v>
      </c>
      <c r="B92" s="20" t="s">
        <v>53</v>
      </c>
      <c r="C92" s="20" t="s">
        <v>53</v>
      </c>
      <c r="D92" s="21"/>
      <c r="E92" s="23"/>
      <c r="F92" s="26">
        <f>TRUNC(SUMIF(N89:N91, N88, F89:F91),0)</f>
        <v>0</v>
      </c>
      <c r="G92" s="23"/>
      <c r="H92" s="26">
        <f>TRUNC(SUMIF(N89:N91, N88, H89:H91),0)</f>
        <v>34461</v>
      </c>
      <c r="I92" s="23"/>
      <c r="J92" s="26">
        <f>TRUNC(SUMIF(N89:N91, N88, J89:J91),0)</f>
        <v>344</v>
      </c>
      <c r="K92" s="23"/>
      <c r="L92" s="26">
        <f>F92+H92+J92</f>
        <v>34805</v>
      </c>
      <c r="M92" s="20" t="s">
        <v>53</v>
      </c>
      <c r="N92" s="1" t="s">
        <v>74</v>
      </c>
      <c r="O92" s="1" t="s">
        <v>74</v>
      </c>
      <c r="P92" s="1" t="s">
        <v>53</v>
      </c>
      <c r="Q92" s="1" t="s">
        <v>53</v>
      </c>
      <c r="R92" s="1" t="s">
        <v>53</v>
      </c>
      <c r="AV92" s="1" t="s">
        <v>53</v>
      </c>
      <c r="AW92" s="1" t="s">
        <v>53</v>
      </c>
      <c r="AX92" s="1" t="s">
        <v>53</v>
      </c>
      <c r="AY92" s="1" t="s">
        <v>53</v>
      </c>
      <c r="AZ92" s="1" t="s">
        <v>53</v>
      </c>
    </row>
    <row r="93" spans="1:52" ht="30" customHeight="1" x14ac:dyDescent="0.45">
      <c r="A93" s="21"/>
      <c r="B93" s="21"/>
      <c r="C93" s="21"/>
      <c r="D93" s="21"/>
      <c r="E93" s="23"/>
      <c r="F93" s="26"/>
      <c r="G93" s="23"/>
      <c r="H93" s="26"/>
      <c r="I93" s="23"/>
      <c r="J93" s="26"/>
      <c r="K93" s="23"/>
      <c r="L93" s="26"/>
      <c r="M93" s="21"/>
    </row>
    <row r="94" spans="1:52" ht="30" customHeight="1" x14ac:dyDescent="0.45">
      <c r="A94" s="17" t="s">
        <v>369</v>
      </c>
      <c r="B94" s="18"/>
      <c r="C94" s="18"/>
      <c r="D94" s="18"/>
      <c r="E94" s="22"/>
      <c r="F94" s="25"/>
      <c r="G94" s="22"/>
      <c r="H94" s="25"/>
      <c r="I94" s="22"/>
      <c r="J94" s="25"/>
      <c r="K94" s="22"/>
      <c r="L94" s="25"/>
      <c r="M94" s="19"/>
      <c r="N94" s="1" t="s">
        <v>280</v>
      </c>
    </row>
    <row r="95" spans="1:52" ht="30" customHeight="1" x14ac:dyDescent="0.45">
      <c r="A95" s="20" t="s">
        <v>371</v>
      </c>
      <c r="B95" s="20" t="s">
        <v>202</v>
      </c>
      <c r="C95" s="20" t="s">
        <v>203</v>
      </c>
      <c r="D95" s="21">
        <v>1.238E-2</v>
      </c>
      <c r="E95" s="23">
        <f>단가대비표!O30</f>
        <v>0</v>
      </c>
      <c r="F95" s="26">
        <f t="shared" ref="F95:F100" si="10">TRUNC(E95*D95,1)</f>
        <v>0</v>
      </c>
      <c r="G95" s="23">
        <f>단가대비표!P30</f>
        <v>239808</v>
      </c>
      <c r="H95" s="26">
        <f t="shared" ref="H95:H100" si="11">TRUNC(G95*D95,1)</f>
        <v>2968.8</v>
      </c>
      <c r="I95" s="23">
        <f>단가대비표!V30</f>
        <v>0</v>
      </c>
      <c r="J95" s="26">
        <f t="shared" ref="J95:J100" si="12">TRUNC(I95*D95,1)</f>
        <v>0</v>
      </c>
      <c r="K95" s="23">
        <f t="shared" ref="K95:L100" si="13">TRUNC(E95+G95+I95,1)</f>
        <v>239808</v>
      </c>
      <c r="L95" s="26">
        <f t="shared" si="13"/>
        <v>2968.8</v>
      </c>
      <c r="M95" s="20" t="s">
        <v>53</v>
      </c>
      <c r="N95" s="1" t="s">
        <v>280</v>
      </c>
      <c r="O95" s="1" t="s">
        <v>372</v>
      </c>
      <c r="P95" s="1" t="s">
        <v>65</v>
      </c>
      <c r="Q95" s="1" t="s">
        <v>65</v>
      </c>
      <c r="R95" s="1" t="s">
        <v>64</v>
      </c>
      <c r="V95">
        <v>1</v>
      </c>
      <c r="W95">
        <v>2</v>
      </c>
      <c r="AV95" s="1" t="s">
        <v>53</v>
      </c>
      <c r="AW95" s="1" t="s">
        <v>373</v>
      </c>
      <c r="AX95" s="1" t="s">
        <v>53</v>
      </c>
      <c r="AY95" s="1" t="s">
        <v>53</v>
      </c>
      <c r="AZ95" s="1" t="s">
        <v>53</v>
      </c>
    </row>
    <row r="96" spans="1:52" ht="30" customHeight="1" x14ac:dyDescent="0.45">
      <c r="A96" s="20" t="s">
        <v>374</v>
      </c>
      <c r="B96" s="20" t="s">
        <v>202</v>
      </c>
      <c r="C96" s="20" t="s">
        <v>203</v>
      </c>
      <c r="D96" s="21">
        <v>3.3800000000000002E-3</v>
      </c>
      <c r="E96" s="23">
        <f>단가대비표!O31</f>
        <v>0</v>
      </c>
      <c r="F96" s="26">
        <f t="shared" si="10"/>
        <v>0</v>
      </c>
      <c r="G96" s="23">
        <f>단가대비표!P31</f>
        <v>282536</v>
      </c>
      <c r="H96" s="26">
        <f t="shared" si="11"/>
        <v>954.9</v>
      </c>
      <c r="I96" s="23">
        <f>단가대비표!V31</f>
        <v>0</v>
      </c>
      <c r="J96" s="26">
        <f t="shared" si="12"/>
        <v>0</v>
      </c>
      <c r="K96" s="23">
        <f t="shared" si="13"/>
        <v>282536</v>
      </c>
      <c r="L96" s="26">
        <f t="shared" si="13"/>
        <v>954.9</v>
      </c>
      <c r="M96" s="20" t="s">
        <v>53</v>
      </c>
      <c r="N96" s="1" t="s">
        <v>280</v>
      </c>
      <c r="O96" s="1" t="s">
        <v>375</v>
      </c>
      <c r="P96" s="1" t="s">
        <v>65</v>
      </c>
      <c r="Q96" s="1" t="s">
        <v>65</v>
      </c>
      <c r="R96" s="1" t="s">
        <v>64</v>
      </c>
      <c r="V96">
        <v>1</v>
      </c>
      <c r="W96">
        <v>2</v>
      </c>
      <c r="AV96" s="1" t="s">
        <v>53</v>
      </c>
      <c r="AW96" s="1" t="s">
        <v>376</v>
      </c>
      <c r="AX96" s="1" t="s">
        <v>53</v>
      </c>
      <c r="AY96" s="1" t="s">
        <v>53</v>
      </c>
      <c r="AZ96" s="1" t="s">
        <v>53</v>
      </c>
    </row>
    <row r="97" spans="1:52" ht="30" customHeight="1" x14ac:dyDescent="0.45">
      <c r="A97" s="20" t="s">
        <v>245</v>
      </c>
      <c r="B97" s="20" t="s">
        <v>202</v>
      </c>
      <c r="C97" s="20" t="s">
        <v>203</v>
      </c>
      <c r="D97" s="21">
        <v>4.4999999999999997E-3</v>
      </c>
      <c r="E97" s="23">
        <f>단가대비표!O28</f>
        <v>0</v>
      </c>
      <c r="F97" s="26">
        <f t="shared" si="10"/>
        <v>0</v>
      </c>
      <c r="G97" s="23">
        <f>단가대비표!P28</f>
        <v>226122</v>
      </c>
      <c r="H97" s="26">
        <f t="shared" si="11"/>
        <v>1017.5</v>
      </c>
      <c r="I97" s="23">
        <f>단가대비표!V28</f>
        <v>0</v>
      </c>
      <c r="J97" s="26">
        <f t="shared" si="12"/>
        <v>0</v>
      </c>
      <c r="K97" s="23">
        <f t="shared" si="13"/>
        <v>226122</v>
      </c>
      <c r="L97" s="26">
        <f t="shared" si="13"/>
        <v>1017.5</v>
      </c>
      <c r="M97" s="20" t="s">
        <v>53</v>
      </c>
      <c r="N97" s="1" t="s">
        <v>280</v>
      </c>
      <c r="O97" s="1" t="s">
        <v>246</v>
      </c>
      <c r="P97" s="1" t="s">
        <v>65</v>
      </c>
      <c r="Q97" s="1" t="s">
        <v>65</v>
      </c>
      <c r="R97" s="1" t="s">
        <v>64</v>
      </c>
      <c r="V97">
        <v>1</v>
      </c>
      <c r="W97">
        <v>2</v>
      </c>
      <c r="AV97" s="1" t="s">
        <v>53</v>
      </c>
      <c r="AW97" s="1" t="s">
        <v>377</v>
      </c>
      <c r="AX97" s="1" t="s">
        <v>53</v>
      </c>
      <c r="AY97" s="1" t="s">
        <v>53</v>
      </c>
      <c r="AZ97" s="1" t="s">
        <v>53</v>
      </c>
    </row>
    <row r="98" spans="1:52" ht="30" customHeight="1" x14ac:dyDescent="0.45">
      <c r="A98" s="20" t="s">
        <v>206</v>
      </c>
      <c r="B98" s="20" t="s">
        <v>202</v>
      </c>
      <c r="C98" s="20" t="s">
        <v>203</v>
      </c>
      <c r="D98" s="21">
        <v>2.2499999999999998E-3</v>
      </c>
      <c r="E98" s="23">
        <f>단가대비표!O27</f>
        <v>0</v>
      </c>
      <c r="F98" s="26">
        <f t="shared" si="10"/>
        <v>0</v>
      </c>
      <c r="G98" s="23">
        <f>단가대비표!P27</f>
        <v>172068</v>
      </c>
      <c r="H98" s="26">
        <f t="shared" si="11"/>
        <v>387.1</v>
      </c>
      <c r="I98" s="23">
        <f>단가대비표!V27</f>
        <v>0</v>
      </c>
      <c r="J98" s="26">
        <f t="shared" si="12"/>
        <v>0</v>
      </c>
      <c r="K98" s="23">
        <f t="shared" si="13"/>
        <v>172068</v>
      </c>
      <c r="L98" s="26">
        <f t="shared" si="13"/>
        <v>387.1</v>
      </c>
      <c r="M98" s="20" t="s">
        <v>53</v>
      </c>
      <c r="N98" s="1" t="s">
        <v>280</v>
      </c>
      <c r="O98" s="1" t="s">
        <v>207</v>
      </c>
      <c r="P98" s="1" t="s">
        <v>65</v>
      </c>
      <c r="Q98" s="1" t="s">
        <v>65</v>
      </c>
      <c r="R98" s="1" t="s">
        <v>64</v>
      </c>
      <c r="V98">
        <v>1</v>
      </c>
      <c r="W98">
        <v>2</v>
      </c>
      <c r="AV98" s="1" t="s">
        <v>53</v>
      </c>
      <c r="AW98" s="1" t="s">
        <v>378</v>
      </c>
      <c r="AX98" s="1" t="s">
        <v>53</v>
      </c>
      <c r="AY98" s="1" t="s">
        <v>53</v>
      </c>
      <c r="AZ98" s="1" t="s">
        <v>53</v>
      </c>
    </row>
    <row r="99" spans="1:52" ht="30" customHeight="1" x14ac:dyDescent="0.45">
      <c r="A99" s="20" t="s">
        <v>209</v>
      </c>
      <c r="B99" s="20" t="s">
        <v>379</v>
      </c>
      <c r="C99" s="20" t="s">
        <v>211</v>
      </c>
      <c r="D99" s="21">
        <v>1</v>
      </c>
      <c r="E99" s="23">
        <v>0</v>
      </c>
      <c r="F99" s="26">
        <f t="shared" si="10"/>
        <v>0</v>
      </c>
      <c r="G99" s="23">
        <v>0</v>
      </c>
      <c r="H99" s="26">
        <f t="shared" si="11"/>
        <v>0</v>
      </c>
      <c r="I99" s="23">
        <f>TRUNC(SUMIF(V95:V100, RIGHTB(O99, 1), H95:H100)*U99, 2)</f>
        <v>266.41000000000003</v>
      </c>
      <c r="J99" s="26">
        <f t="shared" si="12"/>
        <v>266.39999999999998</v>
      </c>
      <c r="K99" s="23">
        <f t="shared" si="13"/>
        <v>266.39999999999998</v>
      </c>
      <c r="L99" s="26">
        <f t="shared" si="13"/>
        <v>266.39999999999998</v>
      </c>
      <c r="M99" s="20" t="s">
        <v>53</v>
      </c>
      <c r="N99" s="1" t="s">
        <v>280</v>
      </c>
      <c r="O99" s="1" t="s">
        <v>212</v>
      </c>
      <c r="P99" s="1" t="s">
        <v>65</v>
      </c>
      <c r="Q99" s="1" t="s">
        <v>65</v>
      </c>
      <c r="R99" s="1" t="s">
        <v>65</v>
      </c>
      <c r="S99">
        <v>1</v>
      </c>
      <c r="T99">
        <v>2</v>
      </c>
      <c r="U99">
        <v>0.05</v>
      </c>
      <c r="AV99" s="1" t="s">
        <v>53</v>
      </c>
      <c r="AW99" s="1" t="s">
        <v>380</v>
      </c>
      <c r="AX99" s="1" t="s">
        <v>53</v>
      </c>
      <c r="AY99" s="1" t="s">
        <v>53</v>
      </c>
      <c r="AZ99" s="1" t="s">
        <v>53</v>
      </c>
    </row>
    <row r="100" spans="1:52" ht="30" customHeight="1" x14ac:dyDescent="0.45">
      <c r="A100" s="20" t="s">
        <v>227</v>
      </c>
      <c r="B100" s="20" t="s">
        <v>381</v>
      </c>
      <c r="C100" s="20" t="s">
        <v>211</v>
      </c>
      <c r="D100" s="21">
        <v>1</v>
      </c>
      <c r="E100" s="23">
        <f>TRUNC(SUMIF(W95:W100, RIGHTB(O100, 1), H95:H100)*U100, 2)</f>
        <v>159.84</v>
      </c>
      <c r="F100" s="26">
        <f t="shared" si="10"/>
        <v>159.80000000000001</v>
      </c>
      <c r="G100" s="23">
        <v>0</v>
      </c>
      <c r="H100" s="26">
        <f t="shared" si="11"/>
        <v>0</v>
      </c>
      <c r="I100" s="23">
        <v>0</v>
      </c>
      <c r="J100" s="26">
        <f t="shared" si="12"/>
        <v>0</v>
      </c>
      <c r="K100" s="23">
        <f t="shared" si="13"/>
        <v>159.80000000000001</v>
      </c>
      <c r="L100" s="26">
        <f t="shared" si="13"/>
        <v>159.80000000000001</v>
      </c>
      <c r="M100" s="20" t="s">
        <v>53</v>
      </c>
      <c r="N100" s="1" t="s">
        <v>280</v>
      </c>
      <c r="O100" s="1" t="s">
        <v>241</v>
      </c>
      <c r="P100" s="1" t="s">
        <v>65</v>
      </c>
      <c r="Q100" s="1" t="s">
        <v>65</v>
      </c>
      <c r="R100" s="1" t="s">
        <v>65</v>
      </c>
      <c r="S100">
        <v>1</v>
      </c>
      <c r="T100">
        <v>0</v>
      </c>
      <c r="U100">
        <v>0.03</v>
      </c>
      <c r="AV100" s="1" t="s">
        <v>53</v>
      </c>
      <c r="AW100" s="1" t="s">
        <v>382</v>
      </c>
      <c r="AX100" s="1" t="s">
        <v>53</v>
      </c>
      <c r="AY100" s="1" t="s">
        <v>53</v>
      </c>
      <c r="AZ100" s="1" t="s">
        <v>53</v>
      </c>
    </row>
    <row r="101" spans="1:52" ht="30" customHeight="1" x14ac:dyDescent="0.45">
      <c r="A101" s="20" t="s">
        <v>214</v>
      </c>
      <c r="B101" s="20" t="s">
        <v>53</v>
      </c>
      <c r="C101" s="20" t="s">
        <v>53</v>
      </c>
      <c r="D101" s="21"/>
      <c r="E101" s="23"/>
      <c r="F101" s="26">
        <f>TRUNC(SUMIF(N95:N100, N94, F95:F100),0)</f>
        <v>159</v>
      </c>
      <c r="G101" s="23"/>
      <c r="H101" s="26">
        <f>TRUNC(SUMIF(N95:N100, N94, H95:H100),0)</f>
        <v>5328</v>
      </c>
      <c r="I101" s="23"/>
      <c r="J101" s="26">
        <f>TRUNC(SUMIF(N95:N100, N94, J95:J100),0)</f>
        <v>266</v>
      </c>
      <c r="K101" s="23"/>
      <c r="L101" s="26">
        <f>F101+H101+J101</f>
        <v>5753</v>
      </c>
      <c r="M101" s="20" t="s">
        <v>53</v>
      </c>
      <c r="N101" s="1" t="s">
        <v>74</v>
      </c>
      <c r="O101" s="1" t="s">
        <v>74</v>
      </c>
      <c r="P101" s="1" t="s">
        <v>53</v>
      </c>
      <c r="Q101" s="1" t="s">
        <v>53</v>
      </c>
      <c r="R101" s="1" t="s">
        <v>53</v>
      </c>
      <c r="AV101" s="1" t="s">
        <v>53</v>
      </c>
      <c r="AW101" s="1" t="s">
        <v>53</v>
      </c>
      <c r="AX101" s="1" t="s">
        <v>53</v>
      </c>
      <c r="AY101" s="1" t="s">
        <v>53</v>
      </c>
      <c r="AZ101" s="1" t="s">
        <v>53</v>
      </c>
    </row>
    <row r="102" spans="1:52" ht="30" customHeight="1" x14ac:dyDescent="0.45">
      <c r="A102" s="21"/>
      <c r="B102" s="21"/>
      <c r="C102" s="21"/>
      <c r="D102" s="21"/>
      <c r="E102" s="23"/>
      <c r="F102" s="26"/>
      <c r="G102" s="23"/>
      <c r="H102" s="26"/>
      <c r="I102" s="23"/>
      <c r="J102" s="26"/>
      <c r="K102" s="23"/>
      <c r="L102" s="26"/>
      <c r="M102" s="21"/>
    </row>
    <row r="103" spans="1:52" ht="30" customHeight="1" x14ac:dyDescent="0.45">
      <c r="A103" s="17" t="s">
        <v>383</v>
      </c>
      <c r="B103" s="18"/>
      <c r="C103" s="18"/>
      <c r="D103" s="18"/>
      <c r="E103" s="22"/>
      <c r="F103" s="25"/>
      <c r="G103" s="22"/>
      <c r="H103" s="25"/>
      <c r="I103" s="22"/>
      <c r="J103" s="25"/>
      <c r="K103" s="22"/>
      <c r="L103" s="25"/>
      <c r="M103" s="19"/>
      <c r="N103" s="1" t="s">
        <v>307</v>
      </c>
    </row>
    <row r="104" spans="1:52" ht="30" customHeight="1" x14ac:dyDescent="0.45">
      <c r="A104" s="20" t="s">
        <v>385</v>
      </c>
      <c r="B104" s="20" t="s">
        <v>304</v>
      </c>
      <c r="C104" s="20" t="s">
        <v>305</v>
      </c>
      <c r="D104" s="21">
        <v>1.03</v>
      </c>
      <c r="E104" s="23">
        <f>단가대비표!O17</f>
        <v>160</v>
      </c>
      <c r="F104" s="26">
        <f>TRUNC(E104*D104,1)</f>
        <v>164.8</v>
      </c>
      <c r="G104" s="23">
        <f>단가대비표!P17</f>
        <v>0</v>
      </c>
      <c r="H104" s="26">
        <f>TRUNC(G104*D104,1)</f>
        <v>0</v>
      </c>
      <c r="I104" s="23">
        <f>단가대비표!V17</f>
        <v>0</v>
      </c>
      <c r="J104" s="26">
        <f>TRUNC(I104*D104,1)</f>
        <v>0</v>
      </c>
      <c r="K104" s="23">
        <f>TRUNC(E104+G104+I104,1)</f>
        <v>160</v>
      </c>
      <c r="L104" s="26">
        <f>TRUNC(F104+H104+J104,1)</f>
        <v>164.8</v>
      </c>
      <c r="M104" s="20" t="s">
        <v>53</v>
      </c>
      <c r="N104" s="1" t="s">
        <v>307</v>
      </c>
      <c r="O104" s="1" t="s">
        <v>386</v>
      </c>
      <c r="P104" s="1" t="s">
        <v>65</v>
      </c>
      <c r="Q104" s="1" t="s">
        <v>65</v>
      </c>
      <c r="R104" s="1" t="s">
        <v>64</v>
      </c>
      <c r="AV104" s="1" t="s">
        <v>53</v>
      </c>
      <c r="AW104" s="1" t="s">
        <v>387</v>
      </c>
      <c r="AX104" s="1" t="s">
        <v>53</v>
      </c>
      <c r="AY104" s="1" t="s">
        <v>53</v>
      </c>
      <c r="AZ104" s="1" t="s">
        <v>53</v>
      </c>
    </row>
    <row r="105" spans="1:52" ht="30" customHeight="1" x14ac:dyDescent="0.45">
      <c r="A105" s="20" t="s">
        <v>388</v>
      </c>
      <c r="B105" s="20" t="s">
        <v>389</v>
      </c>
      <c r="C105" s="20" t="s">
        <v>305</v>
      </c>
      <c r="D105" s="21">
        <v>1</v>
      </c>
      <c r="E105" s="23">
        <f>일위대가목록!E21</f>
        <v>0</v>
      </c>
      <c r="F105" s="26">
        <f>TRUNC(E105*D105,1)</f>
        <v>0</v>
      </c>
      <c r="G105" s="23">
        <f>일위대가목록!F21</f>
        <v>2311</v>
      </c>
      <c r="H105" s="26">
        <f>TRUNC(G105*D105,1)</f>
        <v>2311</v>
      </c>
      <c r="I105" s="23">
        <f>일위대가목록!G21</f>
        <v>92</v>
      </c>
      <c r="J105" s="26">
        <f>TRUNC(I105*D105,1)</f>
        <v>92</v>
      </c>
      <c r="K105" s="23">
        <f>TRUNC(E105+G105+I105,1)</f>
        <v>2403</v>
      </c>
      <c r="L105" s="26">
        <f>TRUNC(F105+H105+J105,1)</f>
        <v>2403</v>
      </c>
      <c r="M105" s="20" t="s">
        <v>390</v>
      </c>
      <c r="N105" s="1" t="s">
        <v>307</v>
      </c>
      <c r="O105" s="1" t="s">
        <v>391</v>
      </c>
      <c r="P105" s="1" t="s">
        <v>64</v>
      </c>
      <c r="Q105" s="1" t="s">
        <v>65</v>
      </c>
      <c r="R105" s="1" t="s">
        <v>65</v>
      </c>
      <c r="AV105" s="1" t="s">
        <v>53</v>
      </c>
      <c r="AW105" s="1" t="s">
        <v>392</v>
      </c>
      <c r="AX105" s="1" t="s">
        <v>53</v>
      </c>
      <c r="AY105" s="1" t="s">
        <v>53</v>
      </c>
      <c r="AZ105" s="1" t="s">
        <v>53</v>
      </c>
    </row>
    <row r="106" spans="1:52" ht="30" customHeight="1" x14ac:dyDescent="0.45">
      <c r="A106" s="20" t="s">
        <v>214</v>
      </c>
      <c r="B106" s="20" t="s">
        <v>53</v>
      </c>
      <c r="C106" s="20" t="s">
        <v>53</v>
      </c>
      <c r="D106" s="21"/>
      <c r="E106" s="23"/>
      <c r="F106" s="26">
        <f>TRUNC(SUMIF(N104:N105, N103, F104:F105),0)</f>
        <v>164</v>
      </c>
      <c r="G106" s="23"/>
      <c r="H106" s="26">
        <f>TRUNC(SUMIF(N104:N105, N103, H104:H105),0)</f>
        <v>2311</v>
      </c>
      <c r="I106" s="23"/>
      <c r="J106" s="26">
        <f>TRUNC(SUMIF(N104:N105, N103, J104:J105),0)</f>
        <v>92</v>
      </c>
      <c r="K106" s="23"/>
      <c r="L106" s="26">
        <f>F106+H106+J106</f>
        <v>2567</v>
      </c>
      <c r="M106" s="20" t="s">
        <v>53</v>
      </c>
      <c r="N106" s="1" t="s">
        <v>74</v>
      </c>
      <c r="O106" s="1" t="s">
        <v>74</v>
      </c>
      <c r="P106" s="1" t="s">
        <v>53</v>
      </c>
      <c r="Q106" s="1" t="s">
        <v>53</v>
      </c>
      <c r="R106" s="1" t="s">
        <v>53</v>
      </c>
      <c r="AV106" s="1" t="s">
        <v>53</v>
      </c>
      <c r="AW106" s="1" t="s">
        <v>53</v>
      </c>
      <c r="AX106" s="1" t="s">
        <v>53</v>
      </c>
      <c r="AY106" s="1" t="s">
        <v>53</v>
      </c>
      <c r="AZ106" s="1" t="s">
        <v>53</v>
      </c>
    </row>
    <row r="107" spans="1:52" ht="30" customHeight="1" x14ac:dyDescent="0.45">
      <c r="A107" s="21"/>
      <c r="B107" s="21"/>
      <c r="C107" s="21"/>
      <c r="D107" s="21"/>
      <c r="E107" s="23"/>
      <c r="F107" s="26"/>
      <c r="G107" s="23"/>
      <c r="H107" s="26"/>
      <c r="I107" s="23"/>
      <c r="J107" s="26"/>
      <c r="K107" s="23"/>
      <c r="L107" s="26"/>
      <c r="M107" s="21"/>
    </row>
    <row r="108" spans="1:52" ht="30" customHeight="1" x14ac:dyDescent="0.45">
      <c r="A108" s="17" t="s">
        <v>393</v>
      </c>
      <c r="B108" s="18"/>
      <c r="C108" s="18"/>
      <c r="D108" s="18"/>
      <c r="E108" s="22"/>
      <c r="F108" s="25"/>
      <c r="G108" s="22"/>
      <c r="H108" s="25"/>
      <c r="I108" s="22"/>
      <c r="J108" s="25"/>
      <c r="K108" s="22"/>
      <c r="L108" s="25"/>
      <c r="M108" s="19"/>
      <c r="N108" s="1" t="s">
        <v>391</v>
      </c>
    </row>
    <row r="109" spans="1:52" ht="30" customHeight="1" x14ac:dyDescent="0.45">
      <c r="A109" s="20" t="s">
        <v>394</v>
      </c>
      <c r="B109" s="20" t="s">
        <v>202</v>
      </c>
      <c r="C109" s="20" t="s">
        <v>203</v>
      </c>
      <c r="D109" s="21">
        <v>8.9999999999999993E-3</v>
      </c>
      <c r="E109" s="23">
        <f>단가대비표!O35</f>
        <v>0</v>
      </c>
      <c r="F109" s="26">
        <f>TRUNC(E109*D109,1)</f>
        <v>0</v>
      </c>
      <c r="G109" s="23">
        <f>단가대비표!P35</f>
        <v>256883</v>
      </c>
      <c r="H109" s="26">
        <f>TRUNC(G109*D109,1)</f>
        <v>2311.9</v>
      </c>
      <c r="I109" s="23">
        <f>단가대비표!V35</f>
        <v>0</v>
      </c>
      <c r="J109" s="26">
        <f>TRUNC(I109*D109,1)</f>
        <v>0</v>
      </c>
      <c r="K109" s="23">
        <f>TRUNC(E109+G109+I109,1)</f>
        <v>256883</v>
      </c>
      <c r="L109" s="26">
        <f>TRUNC(F109+H109+J109,1)</f>
        <v>2311.9</v>
      </c>
      <c r="M109" s="20" t="s">
        <v>53</v>
      </c>
      <c r="N109" s="1" t="s">
        <v>391</v>
      </c>
      <c r="O109" s="1" t="s">
        <v>395</v>
      </c>
      <c r="P109" s="1" t="s">
        <v>65</v>
      </c>
      <c r="Q109" s="1" t="s">
        <v>65</v>
      </c>
      <c r="R109" s="1" t="s">
        <v>64</v>
      </c>
      <c r="V109">
        <v>1</v>
      </c>
      <c r="AV109" s="1" t="s">
        <v>53</v>
      </c>
      <c r="AW109" s="1" t="s">
        <v>396</v>
      </c>
      <c r="AX109" s="1" t="s">
        <v>53</v>
      </c>
      <c r="AY109" s="1" t="s">
        <v>53</v>
      </c>
      <c r="AZ109" s="1" t="s">
        <v>53</v>
      </c>
    </row>
    <row r="110" spans="1:52" ht="30" customHeight="1" x14ac:dyDescent="0.45">
      <c r="A110" s="20" t="s">
        <v>209</v>
      </c>
      <c r="B110" s="20" t="s">
        <v>397</v>
      </c>
      <c r="C110" s="20" t="s">
        <v>211</v>
      </c>
      <c r="D110" s="21">
        <v>1</v>
      </c>
      <c r="E110" s="23">
        <v>0</v>
      </c>
      <c r="F110" s="26">
        <f>TRUNC(E110*D110,1)</f>
        <v>0</v>
      </c>
      <c r="G110" s="23">
        <v>0</v>
      </c>
      <c r="H110" s="26">
        <f>TRUNC(G110*D110,1)</f>
        <v>0</v>
      </c>
      <c r="I110" s="23">
        <f>TRUNC(SUMIF(V109:V110, RIGHTB(O110, 1), H109:H110)*U110, 2)</f>
        <v>92.47</v>
      </c>
      <c r="J110" s="26">
        <f>TRUNC(I110*D110,1)</f>
        <v>92.4</v>
      </c>
      <c r="K110" s="23">
        <f>TRUNC(E110+G110+I110,1)</f>
        <v>92.4</v>
      </c>
      <c r="L110" s="26">
        <f>TRUNC(F110+H110+J110,1)</f>
        <v>92.4</v>
      </c>
      <c r="M110" s="20" t="s">
        <v>53</v>
      </c>
      <c r="N110" s="1" t="s">
        <v>391</v>
      </c>
      <c r="O110" s="1" t="s">
        <v>212</v>
      </c>
      <c r="P110" s="1" t="s">
        <v>65</v>
      </c>
      <c r="Q110" s="1" t="s">
        <v>65</v>
      </c>
      <c r="R110" s="1" t="s">
        <v>65</v>
      </c>
      <c r="S110">
        <v>1</v>
      </c>
      <c r="T110">
        <v>2</v>
      </c>
      <c r="U110">
        <v>0.04</v>
      </c>
      <c r="AV110" s="1" t="s">
        <v>53</v>
      </c>
      <c r="AW110" s="1" t="s">
        <v>398</v>
      </c>
      <c r="AX110" s="1" t="s">
        <v>53</v>
      </c>
      <c r="AY110" s="1" t="s">
        <v>53</v>
      </c>
      <c r="AZ110" s="1" t="s">
        <v>53</v>
      </c>
    </row>
    <row r="111" spans="1:52" ht="30" customHeight="1" x14ac:dyDescent="0.45">
      <c r="A111" s="20" t="s">
        <v>214</v>
      </c>
      <c r="B111" s="20" t="s">
        <v>53</v>
      </c>
      <c r="C111" s="20" t="s">
        <v>53</v>
      </c>
      <c r="D111" s="21"/>
      <c r="E111" s="23"/>
      <c r="F111" s="26">
        <f>TRUNC(SUMIF(N109:N110, N108, F109:F110),0)</f>
        <v>0</v>
      </c>
      <c r="G111" s="23"/>
      <c r="H111" s="26">
        <f>TRUNC(SUMIF(N109:N110, N108, H109:H110),0)</f>
        <v>2311</v>
      </c>
      <c r="I111" s="23"/>
      <c r="J111" s="26">
        <f>TRUNC(SUMIF(N109:N110, N108, J109:J110),0)</f>
        <v>92</v>
      </c>
      <c r="K111" s="23"/>
      <c r="L111" s="26">
        <f>F111+H111+J111</f>
        <v>2403</v>
      </c>
      <c r="M111" s="20" t="s">
        <v>53</v>
      </c>
      <c r="N111" s="1" t="s">
        <v>74</v>
      </c>
      <c r="O111" s="1" t="s">
        <v>74</v>
      </c>
      <c r="P111" s="1" t="s">
        <v>53</v>
      </c>
      <c r="Q111" s="1" t="s">
        <v>53</v>
      </c>
      <c r="R111" s="1" t="s">
        <v>53</v>
      </c>
      <c r="AV111" s="1" t="s">
        <v>53</v>
      </c>
      <c r="AW111" s="1" t="s">
        <v>53</v>
      </c>
      <c r="AX111" s="1" t="s">
        <v>53</v>
      </c>
      <c r="AY111" s="1" t="s">
        <v>53</v>
      </c>
      <c r="AZ111" s="1" t="s">
        <v>53</v>
      </c>
    </row>
    <row r="112" spans="1:52" ht="30" customHeight="1" x14ac:dyDescent="0.45">
      <c r="A112" s="21"/>
      <c r="B112" s="21"/>
      <c r="C112" s="21"/>
      <c r="D112" s="21"/>
      <c r="E112" s="23"/>
      <c r="F112" s="26"/>
      <c r="G112" s="23"/>
      <c r="H112" s="26"/>
      <c r="I112" s="23"/>
      <c r="J112" s="26"/>
      <c r="K112" s="23"/>
      <c r="L112" s="26"/>
      <c r="M112" s="21"/>
    </row>
    <row r="113" spans="1:52" ht="30" customHeight="1" x14ac:dyDescent="0.45">
      <c r="A113" s="17" t="s">
        <v>399</v>
      </c>
      <c r="B113" s="18"/>
      <c r="C113" s="18"/>
      <c r="D113" s="18"/>
      <c r="E113" s="22"/>
      <c r="F113" s="25"/>
      <c r="G113" s="22"/>
      <c r="H113" s="25"/>
      <c r="I113" s="22"/>
      <c r="J113" s="25"/>
      <c r="K113" s="22"/>
      <c r="L113" s="25"/>
      <c r="M113" s="19"/>
      <c r="N113" s="1" t="s">
        <v>400</v>
      </c>
    </row>
    <row r="114" spans="1:52" ht="30" customHeight="1" x14ac:dyDescent="0.45">
      <c r="A114" s="20" t="s">
        <v>401</v>
      </c>
      <c r="B114" s="20" t="s">
        <v>402</v>
      </c>
      <c r="C114" s="20" t="s">
        <v>144</v>
      </c>
      <c r="D114" s="21">
        <v>0.2576</v>
      </c>
      <c r="E114" s="23">
        <f>단가대비표!O5</f>
        <v>0</v>
      </c>
      <c r="F114" s="26">
        <f>TRUNC(E114*D114,1)</f>
        <v>0</v>
      </c>
      <c r="G114" s="23">
        <f>단가대비표!P5</f>
        <v>0</v>
      </c>
      <c r="H114" s="26">
        <f>TRUNC(G114*D114,1)</f>
        <v>0</v>
      </c>
      <c r="I114" s="23">
        <f>단가대비표!V5</f>
        <v>41200</v>
      </c>
      <c r="J114" s="26">
        <f>TRUNC(I114*D114,1)</f>
        <v>10613.1</v>
      </c>
      <c r="K114" s="23">
        <f t="shared" ref="K114:L117" si="14">TRUNC(E114+G114+I114,1)</f>
        <v>41200</v>
      </c>
      <c r="L114" s="26">
        <f t="shared" si="14"/>
        <v>10613.1</v>
      </c>
      <c r="M114" s="20" t="s">
        <v>311</v>
      </c>
      <c r="N114" s="1" t="s">
        <v>400</v>
      </c>
      <c r="O114" s="1" t="s">
        <v>406</v>
      </c>
      <c r="P114" s="1" t="s">
        <v>65</v>
      </c>
      <c r="Q114" s="1" t="s">
        <v>65</v>
      </c>
      <c r="R114" s="1" t="s">
        <v>64</v>
      </c>
      <c r="AV114" s="1" t="s">
        <v>53</v>
      </c>
      <c r="AW114" s="1" t="s">
        <v>407</v>
      </c>
      <c r="AX114" s="1" t="s">
        <v>53</v>
      </c>
      <c r="AY114" s="1" t="s">
        <v>53</v>
      </c>
      <c r="AZ114" s="1" t="s">
        <v>53</v>
      </c>
    </row>
    <row r="115" spans="1:52" ht="30" customHeight="1" x14ac:dyDescent="0.45">
      <c r="A115" s="20" t="s">
        <v>408</v>
      </c>
      <c r="B115" s="20" t="s">
        <v>409</v>
      </c>
      <c r="C115" s="20" t="s">
        <v>410</v>
      </c>
      <c r="D115" s="21">
        <v>16.5</v>
      </c>
      <c r="E115" s="23">
        <f>단가대비표!O26</f>
        <v>1625</v>
      </c>
      <c r="F115" s="26">
        <f>TRUNC(E115*D115,1)</f>
        <v>26812.5</v>
      </c>
      <c r="G115" s="23">
        <f>단가대비표!P26</f>
        <v>0</v>
      </c>
      <c r="H115" s="26">
        <f>TRUNC(G115*D115,1)</f>
        <v>0</v>
      </c>
      <c r="I115" s="23">
        <f>단가대비표!V26</f>
        <v>0</v>
      </c>
      <c r="J115" s="26">
        <f>TRUNC(I115*D115,1)</f>
        <v>0</v>
      </c>
      <c r="K115" s="23">
        <f t="shared" si="14"/>
        <v>1625</v>
      </c>
      <c r="L115" s="26">
        <f t="shared" si="14"/>
        <v>26812.5</v>
      </c>
      <c r="M115" s="20" t="s">
        <v>53</v>
      </c>
      <c r="N115" s="1" t="s">
        <v>400</v>
      </c>
      <c r="O115" s="1" t="s">
        <v>411</v>
      </c>
      <c r="P115" s="1" t="s">
        <v>65</v>
      </c>
      <c r="Q115" s="1" t="s">
        <v>65</v>
      </c>
      <c r="R115" s="1" t="s">
        <v>64</v>
      </c>
      <c r="V115">
        <v>1</v>
      </c>
      <c r="AV115" s="1" t="s">
        <v>53</v>
      </c>
      <c r="AW115" s="1" t="s">
        <v>412</v>
      </c>
      <c r="AX115" s="1" t="s">
        <v>53</v>
      </c>
      <c r="AY115" s="1" t="s">
        <v>53</v>
      </c>
      <c r="AZ115" s="1" t="s">
        <v>53</v>
      </c>
    </row>
    <row r="116" spans="1:52" ht="30" customHeight="1" x14ac:dyDescent="0.45">
      <c r="A116" s="20" t="s">
        <v>227</v>
      </c>
      <c r="B116" s="20" t="s">
        <v>413</v>
      </c>
      <c r="C116" s="20" t="s">
        <v>211</v>
      </c>
      <c r="D116" s="21">
        <v>1</v>
      </c>
      <c r="E116" s="23">
        <f>TRUNC(SUMIF(V114:V117, RIGHTB(O116, 1), F114:F117)*U116, 2)</f>
        <v>10456.870000000001</v>
      </c>
      <c r="F116" s="26">
        <f>TRUNC(E116*D116,1)</f>
        <v>10456.799999999999</v>
      </c>
      <c r="G116" s="23">
        <v>0</v>
      </c>
      <c r="H116" s="26">
        <f>TRUNC(G116*D116,1)</f>
        <v>0</v>
      </c>
      <c r="I116" s="23">
        <v>0</v>
      </c>
      <c r="J116" s="26">
        <f>TRUNC(I116*D116,1)</f>
        <v>0</v>
      </c>
      <c r="K116" s="23">
        <f t="shared" si="14"/>
        <v>10456.799999999999</v>
      </c>
      <c r="L116" s="26">
        <f t="shared" si="14"/>
        <v>10456.799999999999</v>
      </c>
      <c r="M116" s="20" t="s">
        <v>53</v>
      </c>
      <c r="N116" s="1" t="s">
        <v>400</v>
      </c>
      <c r="O116" s="1" t="s">
        <v>212</v>
      </c>
      <c r="P116" s="1" t="s">
        <v>65</v>
      </c>
      <c r="Q116" s="1" t="s">
        <v>65</v>
      </c>
      <c r="R116" s="1" t="s">
        <v>65</v>
      </c>
      <c r="S116">
        <v>0</v>
      </c>
      <c r="T116">
        <v>0</v>
      </c>
      <c r="U116">
        <v>0.39</v>
      </c>
      <c r="AV116" s="1" t="s">
        <v>53</v>
      </c>
      <c r="AW116" s="1" t="s">
        <v>414</v>
      </c>
      <c r="AX116" s="1" t="s">
        <v>53</v>
      </c>
      <c r="AY116" s="1" t="s">
        <v>53</v>
      </c>
      <c r="AZ116" s="1" t="s">
        <v>53</v>
      </c>
    </row>
    <row r="117" spans="1:52" ht="30" customHeight="1" x14ac:dyDescent="0.45">
      <c r="A117" s="20" t="s">
        <v>415</v>
      </c>
      <c r="B117" s="20" t="s">
        <v>202</v>
      </c>
      <c r="C117" s="20" t="s">
        <v>203</v>
      </c>
      <c r="D117" s="21">
        <v>1</v>
      </c>
      <c r="E117" s="23">
        <f>TRUNC(단가대비표!O36*1/8*16/12*25/20, 1)</f>
        <v>0</v>
      </c>
      <c r="F117" s="26">
        <f>TRUNC(E117*D117,1)</f>
        <v>0</v>
      </c>
      <c r="G117" s="23">
        <f>TRUNC(단가대비표!P36*1/8*16/12*25/20, 1)</f>
        <v>59020.2</v>
      </c>
      <c r="H117" s="26">
        <f>TRUNC(G117*D117,1)</f>
        <v>59020.2</v>
      </c>
      <c r="I117" s="23">
        <f>TRUNC(단가대비표!V36*1/8*16/12*25/20, 1)</f>
        <v>0</v>
      </c>
      <c r="J117" s="26">
        <f>TRUNC(I117*D117,1)</f>
        <v>0</v>
      </c>
      <c r="K117" s="23">
        <f t="shared" si="14"/>
        <v>59020.2</v>
      </c>
      <c r="L117" s="26">
        <f t="shared" si="14"/>
        <v>59020.2</v>
      </c>
      <c r="M117" s="20" t="s">
        <v>53</v>
      </c>
      <c r="N117" s="1" t="s">
        <v>400</v>
      </c>
      <c r="O117" s="1" t="s">
        <v>416</v>
      </c>
      <c r="P117" s="1" t="s">
        <v>65</v>
      </c>
      <c r="Q117" s="1" t="s">
        <v>65</v>
      </c>
      <c r="R117" s="1" t="s">
        <v>64</v>
      </c>
      <c r="AV117" s="1" t="s">
        <v>53</v>
      </c>
      <c r="AW117" s="1" t="s">
        <v>417</v>
      </c>
      <c r="AX117" s="1" t="s">
        <v>64</v>
      </c>
      <c r="AY117" s="1" t="s">
        <v>53</v>
      </c>
      <c r="AZ117" s="1" t="s">
        <v>53</v>
      </c>
    </row>
    <row r="118" spans="1:52" ht="30" customHeight="1" x14ac:dyDescent="0.45">
      <c r="A118" s="20" t="s">
        <v>214</v>
      </c>
      <c r="B118" s="20" t="s">
        <v>53</v>
      </c>
      <c r="C118" s="20" t="s">
        <v>53</v>
      </c>
      <c r="D118" s="21"/>
      <c r="E118" s="23"/>
      <c r="F118" s="26">
        <f>TRUNC(SUMIF(N114:N117, N113, F114:F117),0)</f>
        <v>37269</v>
      </c>
      <c r="G118" s="23"/>
      <c r="H118" s="26">
        <f>TRUNC(SUMIF(N114:N117, N113, H114:H117),0)</f>
        <v>59020</v>
      </c>
      <c r="I118" s="23"/>
      <c r="J118" s="26">
        <f>TRUNC(SUMIF(N114:N117, N113, J114:J117),0)</f>
        <v>10613</v>
      </c>
      <c r="K118" s="23"/>
      <c r="L118" s="26">
        <f>F118+H118+J118</f>
        <v>106902</v>
      </c>
      <c r="M118" s="20" t="s">
        <v>53</v>
      </c>
      <c r="N118" s="1" t="s">
        <v>74</v>
      </c>
      <c r="O118" s="1" t="s">
        <v>74</v>
      </c>
      <c r="P118" s="1" t="s">
        <v>53</v>
      </c>
      <c r="Q118" s="1" t="s">
        <v>53</v>
      </c>
      <c r="R118" s="1" t="s">
        <v>53</v>
      </c>
      <c r="AV118" s="1" t="s">
        <v>53</v>
      </c>
      <c r="AW118" s="1" t="s">
        <v>53</v>
      </c>
      <c r="AX118" s="1" t="s">
        <v>53</v>
      </c>
      <c r="AY118" s="1" t="s">
        <v>53</v>
      </c>
      <c r="AZ118" s="1" t="s">
        <v>53</v>
      </c>
    </row>
  </sheetData>
  <mergeCells count="45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W3:AW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7ACC-5FFE-49E0-9D34-CBFCD837606E}">
  <sheetPr>
    <pageSetUpPr fitToPage="1"/>
  </sheetPr>
  <dimension ref="A1:L5"/>
  <sheetViews>
    <sheetView topLeftCell="B1" workbookViewId="0"/>
  </sheetViews>
  <sheetFormatPr defaultRowHeight="17" x14ac:dyDescent="0.45"/>
  <cols>
    <col min="1" max="1" width="11.58203125" hidden="1" customWidth="1"/>
    <col min="2" max="3" width="30.58203125" customWidth="1"/>
    <col min="4" max="4" width="4.58203125" customWidth="1"/>
    <col min="5" max="8" width="13.58203125" customWidth="1"/>
    <col min="9" max="9" width="8.58203125" customWidth="1"/>
    <col min="10" max="10" width="12.58203125" customWidth="1"/>
    <col min="11" max="11" width="11.58203125" hidden="1" customWidth="1"/>
    <col min="12" max="12" width="20.58203125" customWidth="1"/>
  </cols>
  <sheetData>
    <row r="1" spans="1:12" ht="30" customHeight="1" x14ac:dyDescent="0.45">
      <c r="A1" s="3"/>
      <c r="B1" s="2" t="s">
        <v>418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0" customHeight="1" x14ac:dyDescent="0.45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30" customHeight="1" x14ac:dyDescent="0.45">
      <c r="A3" s="7" t="s">
        <v>178</v>
      </c>
      <c r="B3" s="7" t="s">
        <v>2</v>
      </c>
      <c r="C3" s="7" t="s">
        <v>3</v>
      </c>
      <c r="D3" s="7" t="s">
        <v>4</v>
      </c>
      <c r="E3" s="7" t="s">
        <v>179</v>
      </c>
      <c r="F3" s="7" t="s">
        <v>180</v>
      </c>
      <c r="G3" s="7" t="s">
        <v>181</v>
      </c>
      <c r="H3" s="7" t="s">
        <v>182</v>
      </c>
      <c r="I3" s="7" t="s">
        <v>183</v>
      </c>
      <c r="J3" s="7" t="s">
        <v>419</v>
      </c>
      <c r="K3" s="7" t="s">
        <v>420</v>
      </c>
      <c r="L3" s="7" t="s">
        <v>187</v>
      </c>
    </row>
    <row r="4" spans="1:12" ht="30" customHeight="1" x14ac:dyDescent="0.45">
      <c r="A4" s="27" t="s">
        <v>146</v>
      </c>
      <c r="B4" s="27" t="s">
        <v>142</v>
      </c>
      <c r="C4" s="27" t="s">
        <v>143</v>
      </c>
      <c r="D4" s="27" t="s">
        <v>144</v>
      </c>
      <c r="E4" s="28">
        <f>단가산출서!B45</f>
        <v>0</v>
      </c>
      <c r="F4" s="28">
        <f>단가산출서!C45</f>
        <v>0</v>
      </c>
      <c r="G4" s="28">
        <f>단가산출서!D45</f>
        <v>2116006</v>
      </c>
      <c r="H4" s="28">
        <f>단가산출서!E45</f>
        <v>2116006</v>
      </c>
      <c r="I4" s="27" t="s">
        <v>145</v>
      </c>
      <c r="J4" s="27" t="s">
        <v>53</v>
      </c>
      <c r="K4" s="27" t="s">
        <v>146</v>
      </c>
      <c r="L4" s="27" t="s">
        <v>53</v>
      </c>
    </row>
    <row r="5" spans="1:12" ht="30" customHeight="1" x14ac:dyDescent="0.45">
      <c r="A5" s="27" t="s">
        <v>254</v>
      </c>
      <c r="B5" s="27" t="s">
        <v>251</v>
      </c>
      <c r="C5" s="27" t="s">
        <v>252</v>
      </c>
      <c r="D5" s="27" t="s">
        <v>171</v>
      </c>
      <c r="E5" s="28">
        <f>단가산출서!B63</f>
        <v>0</v>
      </c>
      <c r="F5" s="28">
        <f>단가산출서!C63</f>
        <v>0</v>
      </c>
      <c r="G5" s="28">
        <f>단가산출서!D63</f>
        <v>91</v>
      </c>
      <c r="H5" s="28">
        <f>단가산출서!E63</f>
        <v>91</v>
      </c>
      <c r="I5" s="27" t="s">
        <v>253</v>
      </c>
      <c r="J5" s="27" t="s">
        <v>53</v>
      </c>
      <c r="K5" s="27" t="s">
        <v>254</v>
      </c>
      <c r="L5" s="27" t="s">
        <v>514</v>
      </c>
    </row>
  </sheetData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8DB98-C825-4898-A617-CFB5AF278E31}">
  <sheetPr>
    <pageSetUpPr fitToPage="1"/>
  </sheetPr>
  <dimension ref="A1:T63"/>
  <sheetViews>
    <sheetView workbookViewId="0"/>
  </sheetViews>
  <sheetFormatPr defaultRowHeight="17" x14ac:dyDescent="0.45"/>
  <cols>
    <col min="1" max="1" width="77.58203125" customWidth="1"/>
    <col min="2" max="5" width="13.58203125" customWidth="1"/>
    <col min="6" max="6" width="12.58203125" customWidth="1"/>
    <col min="7" max="8" width="11.58203125" hidden="1" customWidth="1"/>
    <col min="9" max="10" width="30.58203125" hidden="1" customWidth="1"/>
    <col min="11" max="11" width="6.58203125" hidden="1" customWidth="1"/>
    <col min="12" max="12" width="13.58203125" hidden="1" customWidth="1"/>
    <col min="13" max="14" width="6.58203125" hidden="1" customWidth="1"/>
    <col min="15" max="20" width="2.58203125" hidden="1" customWidth="1"/>
  </cols>
  <sheetData>
    <row r="1" spans="1:20" ht="30" customHeight="1" x14ac:dyDescent="0.45">
      <c r="A1" s="2" t="s">
        <v>421</v>
      </c>
      <c r="B1" s="3"/>
      <c r="C1" s="3"/>
      <c r="D1" s="3"/>
      <c r="E1" s="3"/>
      <c r="F1" s="3"/>
    </row>
    <row r="2" spans="1:20" ht="30" customHeight="1" x14ac:dyDescent="0.45">
      <c r="A2" s="4" t="s">
        <v>1</v>
      </c>
      <c r="B2" s="5"/>
      <c r="C2" s="5"/>
      <c r="D2" s="5"/>
      <c r="E2" s="5"/>
      <c r="F2" s="6"/>
    </row>
    <row r="3" spans="1:20" ht="30" customHeight="1" x14ac:dyDescent="0.45">
      <c r="A3" s="7" t="s">
        <v>422</v>
      </c>
      <c r="B3" s="7" t="s">
        <v>179</v>
      </c>
      <c r="C3" s="7" t="s">
        <v>180</v>
      </c>
      <c r="D3" s="7" t="s">
        <v>181</v>
      </c>
      <c r="E3" s="7" t="s">
        <v>182</v>
      </c>
      <c r="F3" s="7" t="s">
        <v>419</v>
      </c>
      <c r="G3" s="1" t="s">
        <v>420</v>
      </c>
      <c r="H3" s="1" t="s">
        <v>423</v>
      </c>
      <c r="I3" s="1" t="s">
        <v>424</v>
      </c>
      <c r="J3" s="1" t="s">
        <v>425</v>
      </c>
      <c r="K3" s="1" t="s">
        <v>4</v>
      </c>
      <c r="L3" s="1" t="s">
        <v>5</v>
      </c>
      <c r="M3" s="1" t="s">
        <v>14</v>
      </c>
      <c r="N3" s="1" t="s">
        <v>426</v>
      </c>
      <c r="O3" s="1" t="s">
        <v>427</v>
      </c>
      <c r="P3" s="1" t="s">
        <v>427</v>
      </c>
      <c r="Q3" s="1" t="s">
        <v>427</v>
      </c>
      <c r="R3" s="1" t="s">
        <v>427</v>
      </c>
      <c r="S3" s="1" t="s">
        <v>427</v>
      </c>
      <c r="T3" s="1" t="s">
        <v>428</v>
      </c>
    </row>
    <row r="4" spans="1:20" ht="20" customHeight="1" x14ac:dyDescent="0.45">
      <c r="A4" s="29" t="s">
        <v>429</v>
      </c>
      <c r="B4" s="29"/>
      <c r="C4" s="29"/>
      <c r="D4" s="29"/>
      <c r="E4" s="29"/>
      <c r="F4" s="30" t="s">
        <v>53</v>
      </c>
      <c r="G4" s="1" t="s">
        <v>146</v>
      </c>
      <c r="I4" s="1" t="s">
        <v>142</v>
      </c>
      <c r="J4" s="1" t="s">
        <v>143</v>
      </c>
      <c r="K4" s="1" t="s">
        <v>144</v>
      </c>
    </row>
    <row r="5" spans="1:20" ht="20" customHeight="1" x14ac:dyDescent="0.45">
      <c r="A5" s="31" t="s">
        <v>53</v>
      </c>
      <c r="B5" s="32"/>
      <c r="C5" s="32"/>
      <c r="D5" s="32"/>
      <c r="E5" s="32"/>
      <c r="F5" s="31" t="s">
        <v>53</v>
      </c>
      <c r="G5" s="1" t="s">
        <v>146</v>
      </c>
      <c r="H5" s="1" t="s">
        <v>168</v>
      </c>
      <c r="I5" s="1" t="s">
        <v>53</v>
      </c>
      <c r="J5" s="1" t="s">
        <v>53</v>
      </c>
      <c r="K5" s="1" t="s">
        <v>53</v>
      </c>
      <c r="L5">
        <v>1</v>
      </c>
      <c r="M5" s="1" t="s">
        <v>53</v>
      </c>
      <c r="O5" s="1" t="s">
        <v>53</v>
      </c>
      <c r="P5" s="1" t="s">
        <v>53</v>
      </c>
      <c r="Q5" s="1" t="s">
        <v>53</v>
      </c>
      <c r="R5" s="1" t="s">
        <v>53</v>
      </c>
      <c r="S5" s="1" t="s">
        <v>53</v>
      </c>
      <c r="T5" s="1" t="s">
        <v>53</v>
      </c>
    </row>
    <row r="6" spans="1:20" ht="20" customHeight="1" x14ac:dyDescent="0.45">
      <c r="A6" s="31" t="s">
        <v>430</v>
      </c>
      <c r="B6" s="32">
        <v>0</v>
      </c>
      <c r="C6" s="32">
        <v>0</v>
      </c>
      <c r="D6" s="32">
        <v>0</v>
      </c>
      <c r="E6" s="32">
        <v>0</v>
      </c>
      <c r="F6" s="31" t="s">
        <v>53</v>
      </c>
      <c r="G6" s="1" t="s">
        <v>146</v>
      </c>
      <c r="H6" s="1" t="s">
        <v>431</v>
      </c>
      <c r="I6" s="1" t="s">
        <v>432</v>
      </c>
      <c r="J6" s="1" t="s">
        <v>53</v>
      </c>
      <c r="K6" s="1" t="s">
        <v>53</v>
      </c>
      <c r="M6" s="1" t="s">
        <v>53</v>
      </c>
      <c r="O6" s="1" t="s">
        <v>53</v>
      </c>
      <c r="P6" s="1" t="s">
        <v>53</v>
      </c>
      <c r="Q6" s="1" t="s">
        <v>53</v>
      </c>
      <c r="R6" s="1" t="s">
        <v>53</v>
      </c>
      <c r="S6" s="1" t="s">
        <v>53</v>
      </c>
      <c r="T6" s="1" t="s">
        <v>53</v>
      </c>
    </row>
    <row r="7" spans="1:20" ht="20" customHeight="1" x14ac:dyDescent="0.45">
      <c r="A7" s="31" t="s">
        <v>433</v>
      </c>
      <c r="B7" s="32">
        <v>0</v>
      </c>
      <c r="C7" s="32">
        <v>0</v>
      </c>
      <c r="D7" s="32">
        <v>0</v>
      </c>
      <c r="E7" s="32">
        <v>0</v>
      </c>
      <c r="F7" s="31" t="s">
        <v>53</v>
      </c>
      <c r="G7" s="1" t="s">
        <v>146</v>
      </c>
      <c r="H7" s="1" t="s">
        <v>431</v>
      </c>
      <c r="I7" s="1" t="s">
        <v>434</v>
      </c>
      <c r="J7" s="1" t="s">
        <v>53</v>
      </c>
      <c r="K7" s="1" t="s">
        <v>53</v>
      </c>
      <c r="M7" s="1" t="s">
        <v>53</v>
      </c>
      <c r="O7" s="1" t="s">
        <v>53</v>
      </c>
      <c r="P7" s="1" t="s">
        <v>53</v>
      </c>
      <c r="Q7" s="1" t="s">
        <v>53</v>
      </c>
      <c r="R7" s="1" t="s">
        <v>53</v>
      </c>
      <c r="S7" s="1" t="s">
        <v>53</v>
      </c>
      <c r="T7" s="1" t="s">
        <v>53</v>
      </c>
    </row>
    <row r="8" spans="1:20" ht="20" customHeight="1" x14ac:dyDescent="0.45">
      <c r="A8" s="31" t="s">
        <v>435</v>
      </c>
      <c r="B8" s="32">
        <v>0</v>
      </c>
      <c r="C8" s="32">
        <v>0</v>
      </c>
      <c r="D8" s="32">
        <v>0</v>
      </c>
      <c r="E8" s="32">
        <v>0</v>
      </c>
      <c r="F8" s="31" t="s">
        <v>53</v>
      </c>
      <c r="G8" s="1" t="s">
        <v>146</v>
      </c>
      <c r="H8" s="1" t="s">
        <v>431</v>
      </c>
      <c r="I8" s="1" t="s">
        <v>436</v>
      </c>
      <c r="J8" s="1" t="s">
        <v>53</v>
      </c>
      <c r="K8" s="1" t="s">
        <v>53</v>
      </c>
      <c r="M8" s="1" t="s">
        <v>53</v>
      </c>
      <c r="O8" s="1" t="s">
        <v>53</v>
      </c>
      <c r="P8" s="1" t="s">
        <v>53</v>
      </c>
      <c r="Q8" s="1" t="s">
        <v>53</v>
      </c>
      <c r="R8" s="1" t="s">
        <v>53</v>
      </c>
      <c r="S8" s="1" t="s">
        <v>53</v>
      </c>
      <c r="T8" s="1" t="s">
        <v>53</v>
      </c>
    </row>
    <row r="9" spans="1:20" ht="20" customHeight="1" x14ac:dyDescent="0.45">
      <c r="A9" s="31" t="s">
        <v>437</v>
      </c>
      <c r="B9" s="32">
        <v>0</v>
      </c>
      <c r="C9" s="32">
        <v>0</v>
      </c>
      <c r="D9" s="32">
        <v>0</v>
      </c>
      <c r="E9" s="32">
        <v>0</v>
      </c>
      <c r="F9" s="31" t="s">
        <v>53</v>
      </c>
      <c r="G9" s="1" t="s">
        <v>146</v>
      </c>
      <c r="H9" s="1" t="s">
        <v>431</v>
      </c>
      <c r="I9" s="1" t="s">
        <v>437</v>
      </c>
      <c r="J9" s="1" t="s">
        <v>53</v>
      </c>
      <c r="K9" s="1" t="s">
        <v>53</v>
      </c>
      <c r="M9" s="1" t="s">
        <v>53</v>
      </c>
      <c r="O9" s="1" t="s">
        <v>53</v>
      </c>
      <c r="P9" s="1" t="s">
        <v>53</v>
      </c>
      <c r="Q9" s="1" t="s">
        <v>53</v>
      </c>
      <c r="R9" s="1" t="s">
        <v>53</v>
      </c>
      <c r="S9" s="1" t="s">
        <v>53</v>
      </c>
      <c r="T9" s="1" t="s">
        <v>53</v>
      </c>
    </row>
    <row r="10" spans="1:20" ht="20" customHeight="1" x14ac:dyDescent="0.45">
      <c r="A10" s="31" t="s">
        <v>438</v>
      </c>
      <c r="B10" s="32">
        <v>0</v>
      </c>
      <c r="C10" s="32">
        <v>0</v>
      </c>
      <c r="D10" s="32">
        <v>0</v>
      </c>
      <c r="E10" s="32">
        <v>0</v>
      </c>
      <c r="F10" s="31" t="s">
        <v>53</v>
      </c>
      <c r="G10" s="1" t="s">
        <v>146</v>
      </c>
      <c r="H10" s="1" t="s">
        <v>431</v>
      </c>
      <c r="I10" s="1" t="s">
        <v>439</v>
      </c>
      <c r="J10" s="1" t="s">
        <v>53</v>
      </c>
      <c r="K10" s="1" t="s">
        <v>53</v>
      </c>
      <c r="M10" s="1" t="s">
        <v>53</v>
      </c>
      <c r="O10" s="1" t="s">
        <v>53</v>
      </c>
      <c r="P10" s="1" t="s">
        <v>53</v>
      </c>
      <c r="Q10" s="1" t="s">
        <v>53</v>
      </c>
      <c r="R10" s="1" t="s">
        <v>53</v>
      </c>
      <c r="S10" s="1" t="s">
        <v>53</v>
      </c>
      <c r="T10" s="1" t="s">
        <v>53</v>
      </c>
    </row>
    <row r="11" spans="1:20" ht="20" customHeight="1" x14ac:dyDescent="0.45">
      <c r="A11" s="31" t="s">
        <v>440</v>
      </c>
      <c r="B11" s="32">
        <v>0</v>
      </c>
      <c r="C11" s="32">
        <v>0</v>
      </c>
      <c r="D11" s="32">
        <v>0</v>
      </c>
      <c r="E11" s="32">
        <v>0</v>
      </c>
      <c r="F11" s="31" t="s">
        <v>53</v>
      </c>
      <c r="G11" s="1" t="s">
        <v>146</v>
      </c>
      <c r="H11" s="1" t="s">
        <v>431</v>
      </c>
      <c r="I11" s="1" t="s">
        <v>441</v>
      </c>
      <c r="J11" s="1" t="s">
        <v>53</v>
      </c>
      <c r="K11" s="1" t="s">
        <v>53</v>
      </c>
      <c r="M11" s="1" t="s">
        <v>53</v>
      </c>
      <c r="O11" s="1" t="s">
        <v>53</v>
      </c>
      <c r="P11" s="1" t="s">
        <v>53</v>
      </c>
      <c r="Q11" s="1" t="s">
        <v>53</v>
      </c>
      <c r="R11" s="1" t="s">
        <v>53</v>
      </c>
      <c r="S11" s="1" t="s">
        <v>53</v>
      </c>
      <c r="T11" s="1" t="s">
        <v>53</v>
      </c>
    </row>
    <row r="12" spans="1:20" ht="20" customHeight="1" x14ac:dyDescent="0.45">
      <c r="A12" s="31" t="s">
        <v>442</v>
      </c>
      <c r="B12" s="32">
        <v>0</v>
      </c>
      <c r="C12" s="32">
        <v>0</v>
      </c>
      <c r="D12" s="32">
        <v>0</v>
      </c>
      <c r="E12" s="32">
        <v>0</v>
      </c>
      <c r="F12" s="31" t="s">
        <v>53</v>
      </c>
      <c r="G12" s="1" t="s">
        <v>146</v>
      </c>
      <c r="H12" s="1" t="s">
        <v>431</v>
      </c>
      <c r="I12" s="1" t="s">
        <v>443</v>
      </c>
      <c r="J12" s="1" t="s">
        <v>53</v>
      </c>
      <c r="K12" s="1" t="s">
        <v>53</v>
      </c>
      <c r="M12" s="1" t="s">
        <v>53</v>
      </c>
      <c r="O12" s="1" t="s">
        <v>53</v>
      </c>
      <c r="P12" s="1" t="s">
        <v>53</v>
      </c>
      <c r="Q12" s="1" t="s">
        <v>53</v>
      </c>
      <c r="R12" s="1" t="s">
        <v>53</v>
      </c>
      <c r="S12" s="1" t="s">
        <v>53</v>
      </c>
      <c r="T12" s="1" t="s">
        <v>53</v>
      </c>
    </row>
    <row r="13" spans="1:20" ht="20" customHeight="1" x14ac:dyDescent="0.45">
      <c r="A13" s="31" t="s">
        <v>437</v>
      </c>
      <c r="B13" s="32">
        <v>0</v>
      </c>
      <c r="C13" s="32">
        <v>0</v>
      </c>
      <c r="D13" s="32">
        <v>0</v>
      </c>
      <c r="E13" s="32">
        <v>0</v>
      </c>
      <c r="F13" s="31" t="s">
        <v>53</v>
      </c>
      <c r="G13" s="1" t="s">
        <v>146</v>
      </c>
      <c r="H13" s="1" t="s">
        <v>431</v>
      </c>
      <c r="I13" s="1" t="s">
        <v>53</v>
      </c>
      <c r="J13" s="1" t="s">
        <v>53</v>
      </c>
      <c r="K13" s="1" t="s">
        <v>53</v>
      </c>
      <c r="M13" s="1" t="s">
        <v>53</v>
      </c>
      <c r="O13" s="1" t="s">
        <v>53</v>
      </c>
      <c r="P13" s="1" t="s">
        <v>53</v>
      </c>
      <c r="Q13" s="1" t="s">
        <v>53</v>
      </c>
      <c r="R13" s="1" t="s">
        <v>53</v>
      </c>
      <c r="S13" s="1" t="s">
        <v>53</v>
      </c>
      <c r="T13" s="1" t="s">
        <v>53</v>
      </c>
    </row>
    <row r="14" spans="1:20" ht="20" customHeight="1" x14ac:dyDescent="0.45">
      <c r="A14" s="31" t="s">
        <v>444</v>
      </c>
      <c r="B14" s="32">
        <v>0</v>
      </c>
      <c r="C14" s="32">
        <v>0</v>
      </c>
      <c r="D14" s="32">
        <v>0</v>
      </c>
      <c r="E14" s="32">
        <v>0</v>
      </c>
      <c r="F14" s="31" t="s">
        <v>53</v>
      </c>
      <c r="G14" s="1" t="s">
        <v>146</v>
      </c>
      <c r="H14" s="1" t="s">
        <v>431</v>
      </c>
      <c r="I14" s="1" t="s">
        <v>445</v>
      </c>
      <c r="J14" s="1" t="s">
        <v>53</v>
      </c>
      <c r="K14" s="1" t="s">
        <v>53</v>
      </c>
      <c r="M14" s="1" t="s">
        <v>53</v>
      </c>
      <c r="O14" s="1" t="s">
        <v>53</v>
      </c>
      <c r="P14" s="1" t="s">
        <v>53</v>
      </c>
      <c r="Q14" s="1" t="s">
        <v>53</v>
      </c>
      <c r="R14" s="1" t="s">
        <v>53</v>
      </c>
      <c r="S14" s="1" t="s">
        <v>53</v>
      </c>
      <c r="T14" s="1" t="s">
        <v>53</v>
      </c>
    </row>
    <row r="15" spans="1:20" ht="20" customHeight="1" x14ac:dyDescent="0.45">
      <c r="A15" s="31" t="s">
        <v>446</v>
      </c>
      <c r="B15" s="32">
        <v>0</v>
      </c>
      <c r="C15" s="32">
        <v>0</v>
      </c>
      <c r="D15" s="32">
        <v>0</v>
      </c>
      <c r="E15" s="32">
        <v>0</v>
      </c>
      <c r="F15" s="31" t="s">
        <v>53</v>
      </c>
      <c r="G15" s="1" t="s">
        <v>146</v>
      </c>
      <c r="H15" s="1" t="s">
        <v>431</v>
      </c>
      <c r="I15" s="1" t="s">
        <v>447</v>
      </c>
      <c r="J15" s="1" t="s">
        <v>53</v>
      </c>
      <c r="K15" s="1" t="s">
        <v>53</v>
      </c>
      <c r="M15" s="1" t="s">
        <v>448</v>
      </c>
      <c r="N15">
        <v>2</v>
      </c>
      <c r="O15" s="1" t="s">
        <v>53</v>
      </c>
      <c r="P15" s="1" t="s">
        <v>53</v>
      </c>
      <c r="Q15" s="1" t="s">
        <v>53</v>
      </c>
      <c r="R15" s="1" t="s">
        <v>53</v>
      </c>
      <c r="S15" s="1" t="s">
        <v>53</v>
      </c>
      <c r="T15" s="1" t="s">
        <v>53</v>
      </c>
    </row>
    <row r="16" spans="1:20" ht="20" customHeight="1" x14ac:dyDescent="0.45">
      <c r="A16" s="31" t="s">
        <v>449</v>
      </c>
      <c r="B16" s="32">
        <v>0</v>
      </c>
      <c r="C16" s="32">
        <v>0</v>
      </c>
      <c r="D16" s="32">
        <v>0</v>
      </c>
      <c r="E16" s="32">
        <v>0</v>
      </c>
      <c r="F16" s="31" t="s">
        <v>53</v>
      </c>
      <c r="G16" s="1" t="s">
        <v>146</v>
      </c>
      <c r="H16" s="1" t="s">
        <v>431</v>
      </c>
      <c r="I16" s="1" t="s">
        <v>450</v>
      </c>
      <c r="J16" s="1" t="s">
        <v>53</v>
      </c>
      <c r="K16" s="1" t="s">
        <v>53</v>
      </c>
      <c r="M16" s="1" t="s">
        <v>451</v>
      </c>
      <c r="N16">
        <v>360.5</v>
      </c>
      <c r="O16" s="1" t="s">
        <v>53</v>
      </c>
      <c r="P16" s="1" t="s">
        <v>53</v>
      </c>
      <c r="Q16" s="1" t="s">
        <v>53</v>
      </c>
      <c r="R16" s="1" t="s">
        <v>53</v>
      </c>
      <c r="S16" s="1" t="s">
        <v>53</v>
      </c>
      <c r="T16" s="1" t="s">
        <v>53</v>
      </c>
    </row>
    <row r="17" spans="1:20" ht="20" customHeight="1" x14ac:dyDescent="0.45">
      <c r="A17" s="31" t="s">
        <v>452</v>
      </c>
      <c r="B17" s="32">
        <v>0</v>
      </c>
      <c r="C17" s="32">
        <v>0</v>
      </c>
      <c r="D17" s="32">
        <v>0</v>
      </c>
      <c r="E17" s="32">
        <v>0</v>
      </c>
      <c r="F17" s="31" t="s">
        <v>53</v>
      </c>
      <c r="G17" s="1" t="s">
        <v>146</v>
      </c>
      <c r="H17" s="1" t="s">
        <v>431</v>
      </c>
      <c r="I17" s="1" t="s">
        <v>453</v>
      </c>
      <c r="J17" s="1" t="s">
        <v>53</v>
      </c>
      <c r="K17" s="1" t="s">
        <v>53</v>
      </c>
      <c r="M17" s="1" t="s">
        <v>454</v>
      </c>
      <c r="N17">
        <v>0.5</v>
      </c>
      <c r="O17" s="1" t="s">
        <v>53</v>
      </c>
      <c r="P17" s="1" t="s">
        <v>53</v>
      </c>
      <c r="Q17" s="1" t="s">
        <v>53</v>
      </c>
      <c r="R17" s="1" t="s">
        <v>53</v>
      </c>
      <c r="S17" s="1" t="s">
        <v>53</v>
      </c>
      <c r="T17" s="1" t="s">
        <v>53</v>
      </c>
    </row>
    <row r="18" spans="1:20" ht="20" customHeight="1" x14ac:dyDescent="0.45">
      <c r="A18" s="31" t="s">
        <v>455</v>
      </c>
      <c r="B18" s="32">
        <v>0</v>
      </c>
      <c r="C18" s="32">
        <v>0</v>
      </c>
      <c r="D18" s="32">
        <v>0</v>
      </c>
      <c r="E18" s="32">
        <v>0</v>
      </c>
      <c r="F18" s="31" t="s">
        <v>53</v>
      </c>
      <c r="G18" s="1" t="s">
        <v>146</v>
      </c>
      <c r="H18" s="1" t="s">
        <v>431</v>
      </c>
      <c r="I18" s="1" t="s">
        <v>456</v>
      </c>
      <c r="J18" s="1" t="s">
        <v>53</v>
      </c>
      <c r="K18" s="1" t="s">
        <v>53</v>
      </c>
      <c r="M18" s="1" t="s">
        <v>457</v>
      </c>
      <c r="N18">
        <v>20</v>
      </c>
      <c r="O18" s="1" t="s">
        <v>53</v>
      </c>
      <c r="P18" s="1" t="s">
        <v>53</v>
      </c>
      <c r="Q18" s="1" t="s">
        <v>53</v>
      </c>
      <c r="R18" s="1" t="s">
        <v>53</v>
      </c>
      <c r="S18" s="1" t="s">
        <v>53</v>
      </c>
      <c r="T18" s="1" t="s">
        <v>53</v>
      </c>
    </row>
    <row r="19" spans="1:20" ht="20" customHeight="1" x14ac:dyDescent="0.45">
      <c r="A19" s="31" t="s">
        <v>458</v>
      </c>
      <c r="B19" s="32">
        <v>0</v>
      </c>
      <c r="C19" s="32">
        <v>0</v>
      </c>
      <c r="D19" s="32">
        <v>0</v>
      </c>
      <c r="E19" s="32">
        <v>0</v>
      </c>
      <c r="F19" s="31" t="s">
        <v>53</v>
      </c>
      <c r="G19" s="1" t="s">
        <v>146</v>
      </c>
      <c r="H19" s="1" t="s">
        <v>431</v>
      </c>
      <c r="I19" s="1" t="s">
        <v>459</v>
      </c>
      <c r="J19" s="1" t="s">
        <v>53</v>
      </c>
      <c r="K19" s="1" t="s">
        <v>53</v>
      </c>
      <c r="M19" s="1" t="s">
        <v>460</v>
      </c>
      <c r="N19">
        <v>40</v>
      </c>
      <c r="O19" s="1" t="s">
        <v>53</v>
      </c>
      <c r="P19" s="1" t="s">
        <v>53</v>
      </c>
      <c r="Q19" s="1" t="s">
        <v>53</v>
      </c>
      <c r="R19" s="1" t="s">
        <v>53</v>
      </c>
      <c r="S19" s="1" t="s">
        <v>53</v>
      </c>
      <c r="T19" s="1" t="s">
        <v>53</v>
      </c>
    </row>
    <row r="20" spans="1:20" ht="20" customHeight="1" x14ac:dyDescent="0.45">
      <c r="A20" s="31" t="s">
        <v>461</v>
      </c>
      <c r="B20" s="32">
        <v>0</v>
      </c>
      <c r="C20" s="32">
        <v>0</v>
      </c>
      <c r="D20" s="32">
        <v>0</v>
      </c>
      <c r="E20" s="32">
        <v>0</v>
      </c>
      <c r="F20" s="31" t="s">
        <v>53</v>
      </c>
      <c r="G20" s="1" t="s">
        <v>146</v>
      </c>
      <c r="H20" s="1" t="s">
        <v>431</v>
      </c>
      <c r="I20" s="1" t="s">
        <v>462</v>
      </c>
      <c r="J20" s="1" t="s">
        <v>53</v>
      </c>
      <c r="K20" s="1" t="s">
        <v>53</v>
      </c>
      <c r="M20" s="1" t="s">
        <v>463</v>
      </c>
      <c r="N20">
        <v>20</v>
      </c>
      <c r="O20" s="1" t="s">
        <v>53</v>
      </c>
      <c r="P20" s="1" t="s">
        <v>53</v>
      </c>
      <c r="Q20" s="1" t="s">
        <v>53</v>
      </c>
      <c r="R20" s="1" t="s">
        <v>53</v>
      </c>
      <c r="S20" s="1" t="s">
        <v>53</v>
      </c>
      <c r="T20" s="1" t="s">
        <v>53</v>
      </c>
    </row>
    <row r="21" spans="1:20" ht="20" customHeight="1" x14ac:dyDescent="0.45">
      <c r="A21" s="31" t="s">
        <v>464</v>
      </c>
      <c r="B21" s="32">
        <v>0</v>
      </c>
      <c r="C21" s="32">
        <v>0</v>
      </c>
      <c r="D21" s="32">
        <v>0</v>
      </c>
      <c r="E21" s="32">
        <v>0</v>
      </c>
      <c r="F21" s="31" t="s">
        <v>53</v>
      </c>
      <c r="G21" s="1" t="s">
        <v>146</v>
      </c>
      <c r="H21" s="1" t="s">
        <v>431</v>
      </c>
      <c r="I21" s="1" t="s">
        <v>465</v>
      </c>
      <c r="J21" s="1" t="s">
        <v>53</v>
      </c>
      <c r="K21" s="1" t="s">
        <v>53</v>
      </c>
      <c r="M21" s="1" t="s">
        <v>466</v>
      </c>
      <c r="N21">
        <v>60</v>
      </c>
      <c r="O21" s="1" t="s">
        <v>53</v>
      </c>
      <c r="P21" s="1" t="s">
        <v>53</v>
      </c>
      <c r="Q21" s="1" t="s">
        <v>53</v>
      </c>
      <c r="R21" s="1" t="s">
        <v>53</v>
      </c>
      <c r="S21" s="1" t="s">
        <v>53</v>
      </c>
      <c r="T21" s="1" t="s">
        <v>53</v>
      </c>
    </row>
    <row r="22" spans="1:20" ht="20" customHeight="1" x14ac:dyDescent="0.45">
      <c r="A22" s="31" t="s">
        <v>467</v>
      </c>
      <c r="B22" s="32">
        <v>0</v>
      </c>
      <c r="C22" s="32">
        <v>0</v>
      </c>
      <c r="D22" s="32">
        <v>0</v>
      </c>
      <c r="E22" s="32">
        <v>0</v>
      </c>
      <c r="F22" s="31" t="s">
        <v>53</v>
      </c>
      <c r="G22" s="1" t="s">
        <v>146</v>
      </c>
      <c r="H22" s="1" t="s">
        <v>431</v>
      </c>
      <c r="I22" s="1" t="s">
        <v>468</v>
      </c>
      <c r="J22" s="1" t="s">
        <v>53</v>
      </c>
      <c r="K22" s="1" t="s">
        <v>53</v>
      </c>
      <c r="M22" s="1" t="s">
        <v>469</v>
      </c>
      <c r="N22">
        <v>270</v>
      </c>
      <c r="O22" s="1" t="s">
        <v>53</v>
      </c>
      <c r="P22" s="1" t="s">
        <v>53</v>
      </c>
      <c r="Q22" s="1" t="s">
        <v>53</v>
      </c>
      <c r="R22" s="1" t="s">
        <v>53</v>
      </c>
      <c r="S22" s="1" t="s">
        <v>53</v>
      </c>
      <c r="T22" s="1" t="s">
        <v>53</v>
      </c>
    </row>
    <row r="23" spans="1:20" ht="20" customHeight="1" x14ac:dyDescent="0.45">
      <c r="A23" s="31" t="s">
        <v>470</v>
      </c>
      <c r="B23" s="32">
        <v>0</v>
      </c>
      <c r="C23" s="32">
        <v>0</v>
      </c>
      <c r="D23" s="32">
        <v>0</v>
      </c>
      <c r="E23" s="32">
        <v>0</v>
      </c>
      <c r="F23" s="31" t="s">
        <v>53</v>
      </c>
      <c r="G23" s="1" t="s">
        <v>146</v>
      </c>
      <c r="H23" s="1" t="s">
        <v>431</v>
      </c>
      <c r="I23" s="1" t="s">
        <v>471</v>
      </c>
      <c r="J23" s="1" t="s">
        <v>53</v>
      </c>
      <c r="K23" s="1" t="s">
        <v>53</v>
      </c>
      <c r="M23" s="1" t="s">
        <v>472</v>
      </c>
      <c r="N23">
        <v>30</v>
      </c>
      <c r="O23" s="1" t="s">
        <v>53</v>
      </c>
      <c r="P23" s="1" t="s">
        <v>53</v>
      </c>
      <c r="Q23" s="1" t="s">
        <v>53</v>
      </c>
      <c r="R23" s="1" t="s">
        <v>53</v>
      </c>
      <c r="S23" s="1" t="s">
        <v>53</v>
      </c>
      <c r="T23" s="1" t="s">
        <v>53</v>
      </c>
    </row>
    <row r="24" spans="1:20" ht="20" customHeight="1" x14ac:dyDescent="0.45">
      <c r="A24" s="31" t="s">
        <v>473</v>
      </c>
      <c r="B24" s="32">
        <v>0</v>
      </c>
      <c r="C24" s="32">
        <v>0</v>
      </c>
      <c r="D24" s="32">
        <v>0</v>
      </c>
      <c r="E24" s="32">
        <v>0</v>
      </c>
      <c r="F24" s="31" t="s">
        <v>53</v>
      </c>
      <c r="G24" s="1" t="s">
        <v>146</v>
      </c>
      <c r="H24" s="1" t="s">
        <v>431</v>
      </c>
      <c r="I24" s="1" t="s">
        <v>474</v>
      </c>
      <c r="J24" s="1" t="s">
        <v>53</v>
      </c>
      <c r="K24" s="1" t="s">
        <v>53</v>
      </c>
      <c r="M24" s="1" t="s">
        <v>475</v>
      </c>
      <c r="N24">
        <v>542.25</v>
      </c>
      <c r="O24" s="1" t="s">
        <v>53</v>
      </c>
      <c r="P24" s="1" t="s">
        <v>53</v>
      </c>
      <c r="Q24" s="1" t="s">
        <v>53</v>
      </c>
      <c r="R24" s="1" t="s">
        <v>53</v>
      </c>
      <c r="S24" s="1" t="s">
        <v>53</v>
      </c>
      <c r="T24" s="1" t="s">
        <v>53</v>
      </c>
    </row>
    <row r="25" spans="1:20" ht="20" customHeight="1" x14ac:dyDescent="0.45">
      <c r="A25" s="31" t="s">
        <v>476</v>
      </c>
      <c r="B25" s="32">
        <v>0</v>
      </c>
      <c r="C25" s="32">
        <v>0</v>
      </c>
      <c r="D25" s="32">
        <v>0</v>
      </c>
      <c r="E25" s="32">
        <v>0</v>
      </c>
      <c r="F25" s="31" t="s">
        <v>53</v>
      </c>
      <c r="G25" s="1" t="s">
        <v>146</v>
      </c>
      <c r="H25" s="1" t="s">
        <v>431</v>
      </c>
      <c r="I25" s="1" t="s">
        <v>477</v>
      </c>
      <c r="J25" s="1" t="s">
        <v>53</v>
      </c>
      <c r="K25" s="1" t="s">
        <v>53</v>
      </c>
      <c r="M25" s="1" t="s">
        <v>478</v>
      </c>
      <c r="N25">
        <v>30</v>
      </c>
      <c r="O25" s="1" t="s">
        <v>53</v>
      </c>
      <c r="P25" s="1" t="s">
        <v>53</v>
      </c>
      <c r="Q25" s="1" t="s">
        <v>53</v>
      </c>
      <c r="R25" s="1" t="s">
        <v>53</v>
      </c>
      <c r="S25" s="1" t="s">
        <v>53</v>
      </c>
      <c r="T25" s="1" t="s">
        <v>53</v>
      </c>
    </row>
    <row r="26" spans="1:20" ht="20" customHeight="1" x14ac:dyDescent="0.45">
      <c r="A26" s="31" t="s">
        <v>479</v>
      </c>
      <c r="B26" s="32">
        <v>0</v>
      </c>
      <c r="C26" s="32">
        <v>0</v>
      </c>
      <c r="D26" s="32">
        <v>0</v>
      </c>
      <c r="E26" s="32">
        <v>0</v>
      </c>
      <c r="F26" s="31" t="s">
        <v>53</v>
      </c>
      <c r="G26" s="1" t="s">
        <v>146</v>
      </c>
      <c r="H26" s="1" t="s">
        <v>431</v>
      </c>
      <c r="I26" s="1" t="s">
        <v>480</v>
      </c>
      <c r="J26" s="1" t="s">
        <v>53</v>
      </c>
      <c r="K26" s="1" t="s">
        <v>53</v>
      </c>
      <c r="M26" s="1" t="s">
        <v>481</v>
      </c>
      <c r="N26">
        <v>1.5</v>
      </c>
      <c r="O26" s="1" t="s">
        <v>53</v>
      </c>
      <c r="P26" s="1" t="s">
        <v>53</v>
      </c>
      <c r="Q26" s="1" t="s">
        <v>53</v>
      </c>
      <c r="R26" s="1" t="s">
        <v>53</v>
      </c>
      <c r="S26" s="1" t="s">
        <v>53</v>
      </c>
      <c r="T26" s="1" t="s">
        <v>53</v>
      </c>
    </row>
    <row r="27" spans="1:20" ht="20" customHeight="1" x14ac:dyDescent="0.45">
      <c r="A27" s="31" t="s">
        <v>482</v>
      </c>
      <c r="B27" s="32">
        <v>0</v>
      </c>
      <c r="C27" s="32">
        <v>0</v>
      </c>
      <c r="D27" s="32">
        <v>0</v>
      </c>
      <c r="E27" s="32">
        <v>0</v>
      </c>
      <c r="F27" s="31" t="s">
        <v>53</v>
      </c>
      <c r="G27" s="1" t="s">
        <v>146</v>
      </c>
      <c r="H27" s="1" t="s">
        <v>431</v>
      </c>
      <c r="I27" s="1" t="s">
        <v>483</v>
      </c>
      <c r="J27" s="1" t="s">
        <v>53</v>
      </c>
      <c r="K27" s="1" t="s">
        <v>53</v>
      </c>
      <c r="M27" s="1" t="s">
        <v>484</v>
      </c>
      <c r="N27">
        <v>933.75</v>
      </c>
      <c r="O27" s="1" t="s">
        <v>53</v>
      </c>
      <c r="P27" s="1" t="s">
        <v>53</v>
      </c>
      <c r="Q27" s="1" t="s">
        <v>53</v>
      </c>
      <c r="R27" s="1" t="s">
        <v>53</v>
      </c>
      <c r="S27" s="1" t="s">
        <v>53</v>
      </c>
      <c r="T27" s="1" t="s">
        <v>53</v>
      </c>
    </row>
    <row r="28" spans="1:20" ht="20" customHeight="1" x14ac:dyDescent="0.45">
      <c r="A28" s="31" t="s">
        <v>485</v>
      </c>
      <c r="B28" s="32">
        <v>0</v>
      </c>
      <c r="C28" s="32">
        <v>0</v>
      </c>
      <c r="D28" s="32">
        <v>0</v>
      </c>
      <c r="E28" s="32">
        <v>0</v>
      </c>
      <c r="F28" s="31" t="s">
        <v>53</v>
      </c>
      <c r="G28" s="1" t="s">
        <v>146</v>
      </c>
      <c r="H28" s="1" t="s">
        <v>431</v>
      </c>
      <c r="I28" s="1" t="s">
        <v>486</v>
      </c>
      <c r="J28" s="1" t="s">
        <v>53</v>
      </c>
      <c r="K28" s="1" t="s">
        <v>53</v>
      </c>
      <c r="M28" s="1" t="s">
        <v>487</v>
      </c>
      <c r="N28">
        <v>15.563000000000001</v>
      </c>
      <c r="O28" s="1" t="s">
        <v>53</v>
      </c>
      <c r="P28" s="1" t="s">
        <v>53</v>
      </c>
      <c r="Q28" s="1" t="s">
        <v>53</v>
      </c>
      <c r="R28" s="1" t="s">
        <v>53</v>
      </c>
      <c r="S28" s="1" t="s">
        <v>53</v>
      </c>
      <c r="T28" s="1" t="s">
        <v>53</v>
      </c>
    </row>
    <row r="29" spans="1:20" ht="20" customHeight="1" x14ac:dyDescent="0.45">
      <c r="A29" s="31" t="s">
        <v>488</v>
      </c>
      <c r="B29" s="32">
        <v>0</v>
      </c>
      <c r="C29" s="32">
        <v>0</v>
      </c>
      <c r="D29" s="32">
        <v>0</v>
      </c>
      <c r="E29" s="32">
        <v>0</v>
      </c>
      <c r="F29" s="31" t="s">
        <v>53</v>
      </c>
      <c r="G29" s="1" t="s">
        <v>146</v>
      </c>
      <c r="H29" s="1" t="s">
        <v>431</v>
      </c>
      <c r="I29" s="1" t="s">
        <v>489</v>
      </c>
      <c r="J29" s="1" t="s">
        <v>53</v>
      </c>
      <c r="K29" s="1" t="s">
        <v>53</v>
      </c>
      <c r="M29" s="1" t="s">
        <v>490</v>
      </c>
      <c r="N29">
        <v>11.0625</v>
      </c>
      <c r="O29" s="1" t="s">
        <v>53</v>
      </c>
      <c r="P29" s="1" t="s">
        <v>53</v>
      </c>
      <c r="Q29" s="1" t="s">
        <v>53</v>
      </c>
      <c r="R29" s="1" t="s">
        <v>53</v>
      </c>
      <c r="S29" s="1" t="s">
        <v>53</v>
      </c>
      <c r="T29" s="1" t="s">
        <v>53</v>
      </c>
    </row>
    <row r="30" spans="1:20" ht="20" customHeight="1" x14ac:dyDescent="0.45">
      <c r="A30" s="31" t="s">
        <v>491</v>
      </c>
      <c r="B30" s="32">
        <v>0</v>
      </c>
      <c r="C30" s="32">
        <v>0</v>
      </c>
      <c r="D30" s="32">
        <v>0</v>
      </c>
      <c r="E30" s="32">
        <v>0</v>
      </c>
      <c r="F30" s="31" t="s">
        <v>53</v>
      </c>
      <c r="G30" s="1" t="s">
        <v>146</v>
      </c>
      <c r="H30" s="1" t="s">
        <v>431</v>
      </c>
      <c r="I30" s="1" t="s">
        <v>491</v>
      </c>
      <c r="J30" s="1" t="s">
        <v>53</v>
      </c>
      <c r="K30" s="1" t="s">
        <v>53</v>
      </c>
      <c r="M30" s="1" t="s">
        <v>53</v>
      </c>
      <c r="O30" s="1" t="s">
        <v>53</v>
      </c>
      <c r="P30" s="1" t="s">
        <v>53</v>
      </c>
      <c r="Q30" s="1" t="s">
        <v>53</v>
      </c>
      <c r="R30" s="1" t="s">
        <v>53</v>
      </c>
      <c r="S30" s="1" t="s">
        <v>53</v>
      </c>
      <c r="T30" s="1" t="s">
        <v>53</v>
      </c>
    </row>
    <row r="31" spans="1:20" ht="20" customHeight="1" x14ac:dyDescent="0.45">
      <c r="A31" s="33" t="str">
        <f>" 재료비:  "&amp;일위대가목록!E22&amp;"*"&amp;N29&amp;"="&amp;D31</f>
        <v xml:space="preserve"> 재료비:  37269*11.0625=412288.3</v>
      </c>
      <c r="B31" s="32">
        <v>0</v>
      </c>
      <c r="C31" s="32">
        <v>0</v>
      </c>
      <c r="D31" s="32">
        <f>TRUNC(일위대가목록!E22*N29,1)</f>
        <v>412288.3</v>
      </c>
      <c r="E31" s="32">
        <f>SUM(B31,C31,D31)</f>
        <v>412288.3</v>
      </c>
      <c r="F31" s="31" t="s">
        <v>53</v>
      </c>
      <c r="G31" s="1" t="s">
        <v>146</v>
      </c>
      <c r="H31" s="1" t="s">
        <v>431</v>
      </c>
      <c r="I31" s="1" t="s">
        <v>492</v>
      </c>
      <c r="J31" s="1" t="s">
        <v>53</v>
      </c>
      <c r="K31" s="1" t="s">
        <v>53</v>
      </c>
      <c r="M31" s="1" t="s">
        <v>53</v>
      </c>
      <c r="N31">
        <f>TRUNC(일위대가목록!E22*N29,1)</f>
        <v>412288.3</v>
      </c>
      <c r="O31" s="1" t="s">
        <v>493</v>
      </c>
      <c r="P31" s="1" t="s">
        <v>494</v>
      </c>
      <c r="Q31" s="1" t="s">
        <v>495</v>
      </c>
      <c r="R31" s="1" t="s">
        <v>496</v>
      </c>
      <c r="S31" s="1" t="s">
        <v>497</v>
      </c>
      <c r="T31" s="1" t="s">
        <v>498</v>
      </c>
    </row>
    <row r="32" spans="1:20" ht="20" customHeight="1" x14ac:dyDescent="0.45">
      <c r="A32" s="33" t="str">
        <f>" 노무비:  "&amp;일위대가목록!F22&amp;"*"&amp;N28&amp;"="&amp;D32</f>
        <v xml:space="preserve"> 노무비:  59020*15.563=918528.2</v>
      </c>
      <c r="B32" s="32">
        <v>0</v>
      </c>
      <c r="C32" s="32">
        <v>0</v>
      </c>
      <c r="D32" s="32">
        <f>TRUNC(일위대가목록!F22*N28,1)</f>
        <v>918528.2</v>
      </c>
      <c r="E32" s="32">
        <f>SUM(B32,C32,D32)</f>
        <v>918528.2</v>
      </c>
      <c r="F32" s="31" t="s">
        <v>53</v>
      </c>
      <c r="G32" s="1" t="s">
        <v>146</v>
      </c>
      <c r="H32" s="1" t="s">
        <v>431</v>
      </c>
      <c r="I32" s="1" t="s">
        <v>499</v>
      </c>
      <c r="J32" s="1" t="s">
        <v>53</v>
      </c>
      <c r="K32" s="1" t="s">
        <v>53</v>
      </c>
      <c r="M32" s="1" t="s">
        <v>53</v>
      </c>
      <c r="N32">
        <f>TRUNC(일위대가목록!F22*N28,1)</f>
        <v>918528.2</v>
      </c>
      <c r="O32" s="1" t="s">
        <v>493</v>
      </c>
      <c r="P32" s="1" t="s">
        <v>494</v>
      </c>
      <c r="Q32" s="1" t="s">
        <v>495</v>
      </c>
      <c r="R32" s="1" t="s">
        <v>496</v>
      </c>
      <c r="S32" s="1" t="s">
        <v>497</v>
      </c>
      <c r="T32" s="1" t="s">
        <v>498</v>
      </c>
    </row>
    <row r="33" spans="1:20" ht="20" customHeight="1" x14ac:dyDescent="0.45">
      <c r="A33" s="33" t="str">
        <f>" 경  비:  "&amp;일위대가목록!G22&amp;"*"&amp;N28&amp;"="&amp;D33</f>
        <v xml:space="preserve"> 경  비:  10613*15.563=165170.1</v>
      </c>
      <c r="B33" s="32">
        <v>0</v>
      </c>
      <c r="C33" s="32">
        <v>0</v>
      </c>
      <c r="D33" s="32">
        <f>TRUNC(일위대가목록!G22*N28,1)</f>
        <v>165170.1</v>
      </c>
      <c r="E33" s="32">
        <f>SUM(B33,C33,D33)</f>
        <v>165170.1</v>
      </c>
      <c r="F33" s="31" t="s">
        <v>53</v>
      </c>
      <c r="G33" s="1" t="s">
        <v>146</v>
      </c>
      <c r="H33" s="1" t="s">
        <v>431</v>
      </c>
      <c r="I33" s="1" t="s">
        <v>500</v>
      </c>
      <c r="J33" s="1" t="s">
        <v>53</v>
      </c>
      <c r="K33" s="1" t="s">
        <v>53</v>
      </c>
      <c r="M33" s="1" t="s">
        <v>53</v>
      </c>
      <c r="N33">
        <f>TRUNC(일위대가목록!G22*N28,1)</f>
        <v>165170.1</v>
      </c>
      <c r="O33" s="1" t="s">
        <v>493</v>
      </c>
      <c r="P33" s="1" t="s">
        <v>494</v>
      </c>
      <c r="Q33" s="1" t="s">
        <v>495</v>
      </c>
      <c r="R33" s="1" t="s">
        <v>496</v>
      </c>
      <c r="S33" s="1" t="s">
        <v>497</v>
      </c>
      <c r="T33" s="1" t="s">
        <v>498</v>
      </c>
    </row>
    <row r="34" spans="1:20" ht="20" customHeight="1" x14ac:dyDescent="0.45">
      <c r="A34" s="31" t="s">
        <v>501</v>
      </c>
      <c r="B34" s="32">
        <f>TRUNC(SUMIF(O6:O33, "T11", B6:B33), 1)</f>
        <v>0</v>
      </c>
      <c r="C34" s="32">
        <f>TRUNC(SUMIF(O6:O33, "T11", C6:C33), 1)</f>
        <v>0</v>
      </c>
      <c r="D34" s="32">
        <f>TRUNC(SUMIF(O6:O33, "T11", D6:D33), 1)</f>
        <v>1495986.6</v>
      </c>
      <c r="E34" s="32">
        <f>TRUNC(SUM(B34,C34, D34), 1)</f>
        <v>1495986.6</v>
      </c>
      <c r="F34" s="31" t="s">
        <v>53</v>
      </c>
      <c r="G34" s="1" t="s">
        <v>146</v>
      </c>
      <c r="H34" s="1" t="s">
        <v>431</v>
      </c>
      <c r="I34" s="1" t="s">
        <v>502</v>
      </c>
      <c r="J34" s="1" t="s">
        <v>53</v>
      </c>
      <c r="K34" s="1" t="s">
        <v>53</v>
      </c>
      <c r="M34" s="1" t="s">
        <v>466</v>
      </c>
      <c r="O34" s="1" t="s">
        <v>53</v>
      </c>
      <c r="P34" s="1" t="s">
        <v>53</v>
      </c>
      <c r="Q34" s="1" t="s">
        <v>53</v>
      </c>
      <c r="R34" s="1" t="s">
        <v>53</v>
      </c>
      <c r="S34" s="1" t="s">
        <v>53</v>
      </c>
      <c r="T34" s="1" t="s">
        <v>53</v>
      </c>
    </row>
    <row r="35" spans="1:20" ht="20" customHeight="1" x14ac:dyDescent="0.45">
      <c r="A35" s="31" t="s">
        <v>437</v>
      </c>
      <c r="B35" s="32">
        <v>0</v>
      </c>
      <c r="C35" s="32">
        <v>0</v>
      </c>
      <c r="D35" s="32">
        <v>0</v>
      </c>
      <c r="E35" s="32">
        <v>0</v>
      </c>
      <c r="F35" s="31" t="s">
        <v>53</v>
      </c>
      <c r="G35" s="1" t="s">
        <v>146</v>
      </c>
      <c r="H35" s="1" t="s">
        <v>431</v>
      </c>
      <c r="I35" s="1" t="s">
        <v>53</v>
      </c>
      <c r="J35" s="1" t="s">
        <v>53</v>
      </c>
      <c r="K35" s="1" t="s">
        <v>53</v>
      </c>
      <c r="M35" s="1" t="s">
        <v>53</v>
      </c>
      <c r="O35" s="1" t="s">
        <v>53</v>
      </c>
      <c r="P35" s="1" t="s">
        <v>53</v>
      </c>
      <c r="Q35" s="1" t="s">
        <v>53</v>
      </c>
      <c r="R35" s="1" t="s">
        <v>53</v>
      </c>
      <c r="S35" s="1" t="s">
        <v>53</v>
      </c>
      <c r="T35" s="1" t="s">
        <v>53</v>
      </c>
    </row>
    <row r="36" spans="1:20" ht="20" customHeight="1" x14ac:dyDescent="0.45">
      <c r="A36" s="31" t="s">
        <v>503</v>
      </c>
      <c r="B36" s="32">
        <v>0</v>
      </c>
      <c r="C36" s="32">
        <v>0</v>
      </c>
      <c r="D36" s="32">
        <v>0</v>
      </c>
      <c r="E36" s="32">
        <v>0</v>
      </c>
      <c r="F36" s="31" t="s">
        <v>53</v>
      </c>
      <c r="G36" s="1" t="s">
        <v>146</v>
      </c>
      <c r="H36" s="1" t="s">
        <v>431</v>
      </c>
      <c r="I36" s="1" t="s">
        <v>504</v>
      </c>
      <c r="J36" s="1" t="s">
        <v>53</v>
      </c>
      <c r="K36" s="1" t="s">
        <v>53</v>
      </c>
      <c r="M36" s="1" t="s">
        <v>53</v>
      </c>
      <c r="O36" s="1" t="s">
        <v>53</v>
      </c>
      <c r="P36" s="1" t="s">
        <v>53</v>
      </c>
      <c r="Q36" s="1" t="s">
        <v>53</v>
      </c>
      <c r="R36" s="1" t="s">
        <v>53</v>
      </c>
      <c r="S36" s="1" t="s">
        <v>53</v>
      </c>
      <c r="T36" s="1" t="s">
        <v>53</v>
      </c>
    </row>
    <row r="37" spans="1:20" ht="20" customHeight="1" x14ac:dyDescent="0.45">
      <c r="A37" s="31" t="s">
        <v>505</v>
      </c>
      <c r="B37" s="32">
        <v>0</v>
      </c>
      <c r="C37" s="32">
        <v>0</v>
      </c>
      <c r="D37" s="32">
        <v>0</v>
      </c>
      <c r="E37" s="32">
        <v>0</v>
      </c>
      <c r="F37" s="31" t="s">
        <v>53</v>
      </c>
      <c r="G37" s="1" t="s">
        <v>146</v>
      </c>
      <c r="H37" s="1" t="s">
        <v>431</v>
      </c>
      <c r="I37" s="1" t="s">
        <v>506</v>
      </c>
      <c r="J37" s="1" t="s">
        <v>53</v>
      </c>
      <c r="K37" s="1" t="s">
        <v>53</v>
      </c>
      <c r="M37" s="1" t="s">
        <v>53</v>
      </c>
      <c r="O37" s="1" t="s">
        <v>53</v>
      </c>
      <c r="P37" s="1" t="s">
        <v>53</v>
      </c>
      <c r="Q37" s="1" t="s">
        <v>53</v>
      </c>
      <c r="R37" s="1" t="s">
        <v>53</v>
      </c>
      <c r="S37" s="1" t="s">
        <v>53</v>
      </c>
      <c r="T37" s="1" t="s">
        <v>53</v>
      </c>
    </row>
    <row r="38" spans="1:20" ht="20" customHeight="1" x14ac:dyDescent="0.45">
      <c r="A38" s="33" t="str">
        <f>" 경:  "&amp;단가대비표!V38&amp;"*1="&amp;D38</f>
        <v xml:space="preserve"> 경:  32300*1=32300</v>
      </c>
      <c r="B38" s="32">
        <v>0</v>
      </c>
      <c r="C38" s="32">
        <v>0</v>
      </c>
      <c r="D38" s="32">
        <f>TRUNC(단가대비표!V38*1,1)</f>
        <v>32300</v>
      </c>
      <c r="E38" s="32">
        <f>SUM(B38,C38,D38)</f>
        <v>32300</v>
      </c>
      <c r="F38" s="31" t="s">
        <v>53</v>
      </c>
      <c r="G38" s="1" t="s">
        <v>146</v>
      </c>
      <c r="H38" s="1" t="s">
        <v>431</v>
      </c>
      <c r="I38" s="1" t="s">
        <v>507</v>
      </c>
      <c r="J38" s="1" t="s">
        <v>53</v>
      </c>
      <c r="K38" s="1" t="s">
        <v>53</v>
      </c>
      <c r="M38" s="1" t="s">
        <v>53</v>
      </c>
      <c r="N38">
        <f>TRUNC(단가대비표!V38*1,1)</f>
        <v>32300</v>
      </c>
      <c r="O38" s="1" t="s">
        <v>508</v>
      </c>
      <c r="P38" s="1" t="s">
        <v>494</v>
      </c>
      <c r="Q38" s="1" t="s">
        <v>495</v>
      </c>
      <c r="R38" s="1" t="s">
        <v>496</v>
      </c>
      <c r="S38" s="1" t="s">
        <v>497</v>
      </c>
      <c r="T38" s="1" t="s">
        <v>498</v>
      </c>
    </row>
    <row r="39" spans="1:20" ht="20" customHeight="1" x14ac:dyDescent="0.45">
      <c r="A39" s="31" t="s">
        <v>501</v>
      </c>
      <c r="B39" s="32">
        <f>TRUNC(SUMIF(O35:O38, "T12", B35:B38), 1)</f>
        <v>0</v>
      </c>
      <c r="C39" s="32">
        <f>TRUNC(SUMIF(O35:O38, "T12", C35:C38), 1)</f>
        <v>0</v>
      </c>
      <c r="D39" s="32">
        <f>TRUNC(SUMIF(O35:O38, "T12", D35:D38), 1)</f>
        <v>32300</v>
      </c>
      <c r="E39" s="32">
        <f>TRUNC(SUM(B39,C39, D39), 1)</f>
        <v>32300</v>
      </c>
      <c r="F39" s="31" t="s">
        <v>53</v>
      </c>
      <c r="G39" s="1" t="s">
        <v>146</v>
      </c>
      <c r="H39" s="1" t="s">
        <v>431</v>
      </c>
      <c r="I39" s="1" t="s">
        <v>502</v>
      </c>
      <c r="J39" s="1" t="s">
        <v>53</v>
      </c>
      <c r="K39" s="1" t="s">
        <v>53</v>
      </c>
      <c r="M39" s="1" t="s">
        <v>466</v>
      </c>
      <c r="O39" s="1" t="s">
        <v>53</v>
      </c>
      <c r="P39" s="1" t="s">
        <v>53</v>
      </c>
      <c r="Q39" s="1" t="s">
        <v>53</v>
      </c>
      <c r="R39" s="1" t="s">
        <v>53</v>
      </c>
      <c r="S39" s="1" t="s">
        <v>53</v>
      </c>
      <c r="T39" s="1" t="s">
        <v>53</v>
      </c>
    </row>
    <row r="40" spans="1:20" ht="20" customHeight="1" x14ac:dyDescent="0.45">
      <c r="A40" s="31" t="s">
        <v>437</v>
      </c>
      <c r="B40" s="32">
        <v>0</v>
      </c>
      <c r="C40" s="32">
        <v>0</v>
      </c>
      <c r="D40" s="32">
        <v>0</v>
      </c>
      <c r="E40" s="32">
        <v>0</v>
      </c>
      <c r="F40" s="31" t="s">
        <v>53</v>
      </c>
      <c r="G40" s="1" t="s">
        <v>146</v>
      </c>
      <c r="H40" s="1" t="s">
        <v>431</v>
      </c>
      <c r="I40" s="1" t="s">
        <v>53</v>
      </c>
      <c r="J40" s="1" t="s">
        <v>53</v>
      </c>
      <c r="K40" s="1" t="s">
        <v>53</v>
      </c>
      <c r="M40" s="1" t="s">
        <v>53</v>
      </c>
      <c r="O40" s="1" t="s">
        <v>53</v>
      </c>
      <c r="P40" s="1" t="s">
        <v>53</v>
      </c>
      <c r="Q40" s="1" t="s">
        <v>53</v>
      </c>
      <c r="R40" s="1" t="s">
        <v>53</v>
      </c>
      <c r="S40" s="1" t="s">
        <v>53</v>
      </c>
      <c r="T40" s="1" t="s">
        <v>53</v>
      </c>
    </row>
    <row r="41" spans="1:20" ht="20" customHeight="1" x14ac:dyDescent="0.45">
      <c r="A41" s="31" t="s">
        <v>509</v>
      </c>
      <c r="B41" s="32">
        <v>0</v>
      </c>
      <c r="C41" s="32">
        <v>0</v>
      </c>
      <c r="D41" s="32">
        <v>0</v>
      </c>
      <c r="E41" s="32">
        <v>0</v>
      </c>
      <c r="F41" s="31" t="s">
        <v>53</v>
      </c>
      <c r="G41" s="1" t="s">
        <v>146</v>
      </c>
      <c r="H41" s="1" t="s">
        <v>431</v>
      </c>
      <c r="I41" s="1" t="s">
        <v>510</v>
      </c>
      <c r="J41" s="1" t="s">
        <v>53</v>
      </c>
      <c r="K41" s="1" t="s">
        <v>53</v>
      </c>
      <c r="M41" s="1" t="s">
        <v>53</v>
      </c>
      <c r="O41" s="1" t="s">
        <v>53</v>
      </c>
      <c r="P41" s="1" t="s">
        <v>53</v>
      </c>
      <c r="Q41" s="1" t="s">
        <v>53</v>
      </c>
      <c r="R41" s="1" t="s">
        <v>53</v>
      </c>
      <c r="S41" s="1" t="s">
        <v>53</v>
      </c>
      <c r="T41" s="1" t="s">
        <v>53</v>
      </c>
    </row>
    <row r="42" spans="1:20" ht="20" customHeight="1" x14ac:dyDescent="0.45">
      <c r="A42" s="31" t="s">
        <v>505</v>
      </c>
      <c r="B42" s="32">
        <v>0</v>
      </c>
      <c r="C42" s="32">
        <v>0</v>
      </c>
      <c r="D42" s="32">
        <v>0</v>
      </c>
      <c r="E42" s="32">
        <v>0</v>
      </c>
      <c r="F42" s="31" t="s">
        <v>53</v>
      </c>
      <c r="G42" s="1" t="s">
        <v>146</v>
      </c>
      <c r="H42" s="1" t="s">
        <v>431</v>
      </c>
      <c r="I42" s="1" t="s">
        <v>506</v>
      </c>
      <c r="J42" s="1" t="s">
        <v>53</v>
      </c>
      <c r="K42" s="1" t="s">
        <v>53</v>
      </c>
      <c r="M42" s="1" t="s">
        <v>53</v>
      </c>
      <c r="O42" s="1" t="s">
        <v>53</v>
      </c>
      <c r="P42" s="1" t="s">
        <v>53</v>
      </c>
      <c r="Q42" s="1" t="s">
        <v>53</v>
      </c>
      <c r="R42" s="1" t="s">
        <v>53</v>
      </c>
      <c r="S42" s="1" t="s">
        <v>53</v>
      </c>
      <c r="T42" s="1" t="s">
        <v>53</v>
      </c>
    </row>
    <row r="43" spans="1:20" ht="20" customHeight="1" x14ac:dyDescent="0.45">
      <c r="A43" s="33" t="str">
        <f>" 경비:  "&amp;단가대비표!V37&amp;"*1="&amp;D43</f>
        <v xml:space="preserve"> 경비:  587720*1=587720</v>
      </c>
      <c r="B43" s="32">
        <v>0</v>
      </c>
      <c r="C43" s="32">
        <v>0</v>
      </c>
      <c r="D43" s="32">
        <f>TRUNC(단가대비표!V37*1,1)</f>
        <v>587720</v>
      </c>
      <c r="E43" s="32">
        <f>SUM(B43,C43,D43)</f>
        <v>587720</v>
      </c>
      <c r="F43" s="31" t="s">
        <v>53</v>
      </c>
      <c r="G43" s="1" t="s">
        <v>146</v>
      </c>
      <c r="H43" s="1" t="s">
        <v>431</v>
      </c>
      <c r="I43" s="1" t="s">
        <v>511</v>
      </c>
      <c r="J43" s="1" t="s">
        <v>53</v>
      </c>
      <c r="K43" s="1" t="s">
        <v>53</v>
      </c>
      <c r="M43" s="1" t="s">
        <v>53</v>
      </c>
      <c r="N43">
        <f>TRUNC(단가대비표!V37*1,1)</f>
        <v>587720</v>
      </c>
      <c r="O43" s="1" t="s">
        <v>512</v>
      </c>
      <c r="P43" s="1" t="s">
        <v>494</v>
      </c>
      <c r="Q43" s="1" t="s">
        <v>495</v>
      </c>
      <c r="R43" s="1" t="s">
        <v>496</v>
      </c>
      <c r="S43" s="1" t="s">
        <v>497</v>
      </c>
      <c r="T43" s="1" t="s">
        <v>498</v>
      </c>
    </row>
    <row r="44" spans="1:20" ht="20" customHeight="1" x14ac:dyDescent="0.45">
      <c r="A44" s="31" t="s">
        <v>501</v>
      </c>
      <c r="B44" s="32">
        <f>TRUNC(SUMIF(O40:O43, "T13", B40:B43), 1)</f>
        <v>0</v>
      </c>
      <c r="C44" s="32">
        <f>TRUNC(SUMIF(O40:O43, "T13", C40:C43), 1)</f>
        <v>0</v>
      </c>
      <c r="D44" s="32">
        <f>TRUNC(SUMIF(O40:O43, "T13", D40:D43), 1)</f>
        <v>587720</v>
      </c>
      <c r="E44" s="32">
        <f>TRUNC(SUM(B44,C44, D44), 1)</f>
        <v>587720</v>
      </c>
      <c r="F44" s="31" t="s">
        <v>53</v>
      </c>
      <c r="G44" s="1" t="s">
        <v>146</v>
      </c>
      <c r="H44" s="1" t="s">
        <v>431</v>
      </c>
      <c r="I44" s="1" t="s">
        <v>502</v>
      </c>
      <c r="J44" s="1" t="s">
        <v>53</v>
      </c>
      <c r="K44" s="1" t="s">
        <v>53</v>
      </c>
      <c r="M44" s="1" t="s">
        <v>466</v>
      </c>
      <c r="O44" s="1" t="s">
        <v>53</v>
      </c>
      <c r="P44" s="1" t="s">
        <v>53</v>
      </c>
      <c r="Q44" s="1" t="s">
        <v>53</v>
      </c>
      <c r="R44" s="1" t="s">
        <v>53</v>
      </c>
      <c r="S44" s="1" t="s">
        <v>53</v>
      </c>
      <c r="T44" s="1" t="s">
        <v>53</v>
      </c>
    </row>
    <row r="45" spans="1:20" ht="20" customHeight="1" x14ac:dyDescent="0.45">
      <c r="A45" s="31" t="s">
        <v>513</v>
      </c>
      <c r="B45" s="34">
        <f>TRUNC(SUMIF(T5:T44, "TT", B5:B44), 0)</f>
        <v>0</v>
      </c>
      <c r="C45" s="34">
        <f>TRUNC(SUMIF(T5:T44, "TT", C5:C44), 0)</f>
        <v>0</v>
      </c>
      <c r="D45" s="34">
        <f>TRUNC(SUMIF(T5:T44, "TT", D5:D44), 0)</f>
        <v>2116006</v>
      </c>
      <c r="E45" s="34">
        <f>TRUNC(SUM(B45,C45, D45), 0)</f>
        <v>2116006</v>
      </c>
      <c r="F45" s="33"/>
    </row>
    <row r="46" spans="1:20" ht="20" customHeight="1" x14ac:dyDescent="0.45">
      <c r="A46" s="33"/>
      <c r="B46" s="33"/>
      <c r="C46" s="33"/>
      <c r="D46" s="33"/>
      <c r="E46" s="33"/>
      <c r="F46" s="33"/>
    </row>
    <row r="47" spans="1:20" ht="20" customHeight="1" x14ac:dyDescent="0.45">
      <c r="A47" s="33" t="s">
        <v>515</v>
      </c>
      <c r="B47" s="33"/>
      <c r="C47" s="33"/>
      <c r="D47" s="33"/>
      <c r="E47" s="33"/>
      <c r="F47" s="31" t="s">
        <v>53</v>
      </c>
      <c r="G47" s="1" t="s">
        <v>254</v>
      </c>
      <c r="I47" s="1" t="s">
        <v>251</v>
      </c>
      <c r="J47" s="1" t="s">
        <v>252</v>
      </c>
      <c r="K47" s="1" t="s">
        <v>171</v>
      </c>
    </row>
    <row r="48" spans="1:20" ht="20" customHeight="1" x14ac:dyDescent="0.45">
      <c r="A48" s="31" t="s">
        <v>53</v>
      </c>
      <c r="B48" s="32"/>
      <c r="C48" s="32"/>
      <c r="D48" s="32"/>
      <c r="E48" s="32"/>
      <c r="F48" s="31" t="s">
        <v>53</v>
      </c>
      <c r="G48" s="1" t="s">
        <v>254</v>
      </c>
      <c r="H48" s="1" t="s">
        <v>168</v>
      </c>
      <c r="I48" s="1" t="s">
        <v>53</v>
      </c>
      <c r="J48" s="1" t="s">
        <v>53</v>
      </c>
      <c r="K48" s="1" t="s">
        <v>69</v>
      </c>
      <c r="L48">
        <v>1</v>
      </c>
      <c r="M48" s="1" t="s">
        <v>53</v>
      </c>
      <c r="O48" s="1" t="s">
        <v>53</v>
      </c>
      <c r="P48" s="1" t="s">
        <v>53</v>
      </c>
      <c r="Q48" s="1" t="s">
        <v>53</v>
      </c>
      <c r="R48" s="1" t="s">
        <v>53</v>
      </c>
      <c r="S48" s="1" t="s">
        <v>53</v>
      </c>
      <c r="T48" s="1" t="s">
        <v>53</v>
      </c>
    </row>
    <row r="49" spans="1:20" ht="20" customHeight="1" x14ac:dyDescent="0.45">
      <c r="A49" s="31" t="s">
        <v>516</v>
      </c>
      <c r="B49" s="32">
        <v>0</v>
      </c>
      <c r="C49" s="32">
        <v>0</v>
      </c>
      <c r="D49" s="32">
        <v>0</v>
      </c>
      <c r="E49" s="32">
        <v>0</v>
      </c>
      <c r="F49" s="31" t="s">
        <v>53</v>
      </c>
      <c r="G49" s="1" t="s">
        <v>254</v>
      </c>
      <c r="H49" s="1" t="s">
        <v>431</v>
      </c>
      <c r="I49" s="1" t="s">
        <v>517</v>
      </c>
      <c r="J49" s="1" t="s">
        <v>53</v>
      </c>
      <c r="K49" s="1" t="s">
        <v>53</v>
      </c>
      <c r="M49" s="1" t="s">
        <v>53</v>
      </c>
      <c r="O49" s="1" t="s">
        <v>53</v>
      </c>
      <c r="P49" s="1" t="s">
        <v>53</v>
      </c>
      <c r="Q49" s="1" t="s">
        <v>53</v>
      </c>
      <c r="R49" s="1" t="s">
        <v>53</v>
      </c>
      <c r="S49" s="1" t="s">
        <v>53</v>
      </c>
      <c r="T49" s="1" t="s">
        <v>53</v>
      </c>
    </row>
    <row r="50" spans="1:20" ht="20" customHeight="1" x14ac:dyDescent="0.45">
      <c r="A50" s="31" t="s">
        <v>518</v>
      </c>
      <c r="B50" s="32">
        <v>0</v>
      </c>
      <c r="C50" s="32">
        <v>0</v>
      </c>
      <c r="D50" s="32">
        <v>0</v>
      </c>
      <c r="E50" s="32">
        <v>0</v>
      </c>
      <c r="F50" s="31" t="s">
        <v>53</v>
      </c>
      <c r="G50" s="1" t="s">
        <v>254</v>
      </c>
      <c r="H50" s="1" t="s">
        <v>431</v>
      </c>
      <c r="I50" s="1" t="s">
        <v>519</v>
      </c>
      <c r="J50" s="1" t="s">
        <v>53</v>
      </c>
      <c r="K50" s="1" t="s">
        <v>53</v>
      </c>
      <c r="M50" s="1" t="s">
        <v>466</v>
      </c>
      <c r="N50">
        <v>450</v>
      </c>
      <c r="O50" s="1" t="s">
        <v>53</v>
      </c>
      <c r="P50" s="1" t="s">
        <v>53</v>
      </c>
      <c r="Q50" s="1" t="s">
        <v>53</v>
      </c>
      <c r="R50" s="1" t="s">
        <v>53</v>
      </c>
      <c r="S50" s="1" t="s">
        <v>53</v>
      </c>
      <c r="T50" s="1" t="s">
        <v>53</v>
      </c>
    </row>
    <row r="51" spans="1:20" ht="20" customHeight="1" x14ac:dyDescent="0.45">
      <c r="A51" s="31" t="s">
        <v>520</v>
      </c>
      <c r="B51" s="32">
        <v>0</v>
      </c>
      <c r="C51" s="32">
        <v>0</v>
      </c>
      <c r="D51" s="32">
        <v>0</v>
      </c>
      <c r="E51" s="32">
        <v>0</v>
      </c>
      <c r="F51" s="31" t="s">
        <v>53</v>
      </c>
      <c r="G51" s="1" t="s">
        <v>254</v>
      </c>
      <c r="H51" s="1" t="s">
        <v>431</v>
      </c>
      <c r="I51" s="1" t="s">
        <v>521</v>
      </c>
      <c r="J51" s="1" t="s">
        <v>53</v>
      </c>
      <c r="K51" s="1" t="s">
        <v>53</v>
      </c>
      <c r="M51" s="1" t="s">
        <v>522</v>
      </c>
      <c r="N51">
        <v>25</v>
      </c>
      <c r="O51" s="1" t="s">
        <v>53</v>
      </c>
      <c r="P51" s="1" t="s">
        <v>53</v>
      </c>
      <c r="Q51" s="1" t="s">
        <v>53</v>
      </c>
      <c r="R51" s="1" t="s">
        <v>53</v>
      </c>
      <c r="S51" s="1" t="s">
        <v>53</v>
      </c>
      <c r="T51" s="1" t="s">
        <v>53</v>
      </c>
    </row>
    <row r="52" spans="1:20" ht="20" customHeight="1" x14ac:dyDescent="0.45">
      <c r="A52" s="31" t="s">
        <v>523</v>
      </c>
      <c r="B52" s="32">
        <v>0</v>
      </c>
      <c r="C52" s="32">
        <v>0</v>
      </c>
      <c r="D52" s="32">
        <v>0</v>
      </c>
      <c r="E52" s="32">
        <v>0</v>
      </c>
      <c r="F52" s="31" t="s">
        <v>53</v>
      </c>
      <c r="G52" s="1" t="s">
        <v>254</v>
      </c>
      <c r="H52" s="1" t="s">
        <v>431</v>
      </c>
      <c r="I52" s="1" t="s">
        <v>524</v>
      </c>
      <c r="J52" s="1" t="s">
        <v>53</v>
      </c>
      <c r="K52" s="1" t="s">
        <v>53</v>
      </c>
      <c r="M52" s="1" t="s">
        <v>410</v>
      </c>
      <c r="N52">
        <v>100</v>
      </c>
      <c r="O52" s="1" t="s">
        <v>53</v>
      </c>
      <c r="P52" s="1" t="s">
        <v>53</v>
      </c>
      <c r="Q52" s="1" t="s">
        <v>53</v>
      </c>
      <c r="R52" s="1" t="s">
        <v>53</v>
      </c>
      <c r="S52" s="1" t="s">
        <v>53</v>
      </c>
      <c r="T52" s="1" t="s">
        <v>53</v>
      </c>
    </row>
    <row r="53" spans="1:20" ht="20" customHeight="1" x14ac:dyDescent="0.45">
      <c r="A53" s="31" t="s">
        <v>525</v>
      </c>
      <c r="B53" s="32">
        <v>0</v>
      </c>
      <c r="C53" s="32">
        <v>0</v>
      </c>
      <c r="D53" s="32">
        <v>0</v>
      </c>
      <c r="E53" s="32">
        <v>0</v>
      </c>
      <c r="F53" s="31" t="s">
        <v>53</v>
      </c>
      <c r="G53" s="1" t="s">
        <v>254</v>
      </c>
      <c r="H53" s="1" t="s">
        <v>431</v>
      </c>
      <c r="I53" s="1" t="s">
        <v>526</v>
      </c>
      <c r="J53" s="1" t="s">
        <v>53</v>
      </c>
      <c r="K53" s="1" t="s">
        <v>53</v>
      </c>
      <c r="M53" s="1" t="s">
        <v>527</v>
      </c>
      <c r="N53">
        <v>3000</v>
      </c>
      <c r="O53" s="1" t="s">
        <v>53</v>
      </c>
      <c r="P53" s="1" t="s">
        <v>53</v>
      </c>
      <c r="Q53" s="1" t="s">
        <v>53</v>
      </c>
      <c r="R53" s="1" t="s">
        <v>53</v>
      </c>
      <c r="S53" s="1" t="s">
        <v>53</v>
      </c>
      <c r="T53" s="1" t="s">
        <v>53</v>
      </c>
    </row>
    <row r="54" spans="1:20" ht="20" customHeight="1" x14ac:dyDescent="0.45">
      <c r="A54" s="31" t="s">
        <v>528</v>
      </c>
      <c r="B54" s="32">
        <v>0</v>
      </c>
      <c r="C54" s="32">
        <v>0</v>
      </c>
      <c r="D54" s="32">
        <v>0</v>
      </c>
      <c r="E54" s="32">
        <v>0</v>
      </c>
      <c r="F54" s="31" t="s">
        <v>53</v>
      </c>
      <c r="G54" s="1" t="s">
        <v>254</v>
      </c>
      <c r="H54" s="1" t="s">
        <v>431</v>
      </c>
      <c r="I54" s="1" t="s">
        <v>529</v>
      </c>
      <c r="J54" s="1" t="s">
        <v>53</v>
      </c>
      <c r="K54" s="1" t="s">
        <v>53</v>
      </c>
      <c r="M54" s="1" t="s">
        <v>469</v>
      </c>
      <c r="N54">
        <v>2</v>
      </c>
      <c r="O54" s="1" t="s">
        <v>53</v>
      </c>
      <c r="P54" s="1" t="s">
        <v>53</v>
      </c>
      <c r="Q54" s="1" t="s">
        <v>53</v>
      </c>
      <c r="R54" s="1" t="s">
        <v>53</v>
      </c>
      <c r="S54" s="1" t="s">
        <v>53</v>
      </c>
      <c r="T54" s="1" t="s">
        <v>53</v>
      </c>
    </row>
    <row r="55" spans="1:20" ht="20" customHeight="1" x14ac:dyDescent="0.45">
      <c r="A55" s="31" t="s">
        <v>530</v>
      </c>
      <c r="B55" s="32">
        <v>0</v>
      </c>
      <c r="C55" s="32">
        <v>0</v>
      </c>
      <c r="D55" s="32">
        <v>0</v>
      </c>
      <c r="E55" s="32">
        <v>0</v>
      </c>
      <c r="F55" s="31" t="s">
        <v>53</v>
      </c>
      <c r="G55" s="1" t="s">
        <v>254</v>
      </c>
      <c r="H55" s="1" t="s">
        <v>431</v>
      </c>
      <c r="I55" s="1" t="s">
        <v>531</v>
      </c>
      <c r="J55" s="1" t="s">
        <v>53</v>
      </c>
      <c r="K55" s="1" t="s">
        <v>53</v>
      </c>
      <c r="M55" s="1" t="s">
        <v>532</v>
      </c>
      <c r="N55">
        <v>75</v>
      </c>
      <c r="O55" s="1" t="s">
        <v>53</v>
      </c>
      <c r="P55" s="1" t="s">
        <v>53</v>
      </c>
      <c r="Q55" s="1" t="s">
        <v>53</v>
      </c>
      <c r="R55" s="1" t="s">
        <v>53</v>
      </c>
      <c r="S55" s="1" t="s">
        <v>53</v>
      </c>
      <c r="T55" s="1" t="s">
        <v>53</v>
      </c>
    </row>
    <row r="56" spans="1:20" ht="20" customHeight="1" x14ac:dyDescent="0.45">
      <c r="A56" s="31" t="s">
        <v>533</v>
      </c>
      <c r="B56" s="32">
        <v>0</v>
      </c>
      <c r="C56" s="32">
        <v>0</v>
      </c>
      <c r="D56" s="32">
        <v>0</v>
      </c>
      <c r="E56" s="32">
        <v>0</v>
      </c>
      <c r="F56" s="31" t="s">
        <v>53</v>
      </c>
      <c r="G56" s="1" t="s">
        <v>254</v>
      </c>
      <c r="H56" s="1" t="s">
        <v>431</v>
      </c>
      <c r="I56" s="1" t="s">
        <v>534</v>
      </c>
      <c r="J56" s="1" t="s">
        <v>53</v>
      </c>
      <c r="K56" s="1" t="s">
        <v>53</v>
      </c>
      <c r="M56" s="1" t="s">
        <v>487</v>
      </c>
      <c r="N56">
        <v>1875</v>
      </c>
      <c r="O56" s="1" t="s">
        <v>53</v>
      </c>
      <c r="P56" s="1" t="s">
        <v>53</v>
      </c>
      <c r="Q56" s="1" t="s">
        <v>53</v>
      </c>
      <c r="R56" s="1" t="s">
        <v>53</v>
      </c>
      <c r="S56" s="1" t="s">
        <v>53</v>
      </c>
      <c r="T56" s="1" t="s">
        <v>53</v>
      </c>
    </row>
    <row r="57" spans="1:20" ht="20" customHeight="1" x14ac:dyDescent="0.45">
      <c r="A57" s="33" t="str">
        <f>"  노무비:  "&amp;단가대비표!P27&amp;"/"&amp;N56&amp;"="&amp;D57</f>
        <v xml:space="preserve">  노무비:  172068/1875=91.7</v>
      </c>
      <c r="B57" s="32">
        <v>0</v>
      </c>
      <c r="C57" s="32">
        <v>0</v>
      </c>
      <c r="D57" s="32">
        <f>TRUNC(단가대비표!P27/N56,1)</f>
        <v>91.7</v>
      </c>
      <c r="E57" s="32">
        <f>SUM(B57,C57,D57)</f>
        <v>91.7</v>
      </c>
      <c r="F57" s="31" t="s">
        <v>53</v>
      </c>
      <c r="G57" s="1" t="s">
        <v>254</v>
      </c>
      <c r="H57" s="1" t="s">
        <v>431</v>
      </c>
      <c r="I57" s="1" t="s">
        <v>535</v>
      </c>
      <c r="J57" s="1" t="s">
        <v>53</v>
      </c>
      <c r="K57" s="1" t="s">
        <v>53</v>
      </c>
      <c r="M57" s="1" t="s">
        <v>53</v>
      </c>
      <c r="N57">
        <f>TRUNC(단가대비표!P27/N56,1)</f>
        <v>91.7</v>
      </c>
      <c r="O57" s="1" t="s">
        <v>493</v>
      </c>
      <c r="P57" s="1" t="s">
        <v>494</v>
      </c>
      <c r="Q57" s="1" t="s">
        <v>495</v>
      </c>
      <c r="R57" s="1" t="s">
        <v>496</v>
      </c>
      <c r="S57" s="1" t="s">
        <v>497</v>
      </c>
      <c r="T57" s="1" t="s">
        <v>498</v>
      </c>
    </row>
    <row r="58" spans="1:20" ht="20" customHeight="1" x14ac:dyDescent="0.45">
      <c r="A58" s="31" t="s">
        <v>501</v>
      </c>
      <c r="B58" s="32">
        <f>TRUNC(SUMIF(O49:O57, "T11", B49:B57), 1)</f>
        <v>0</v>
      </c>
      <c r="C58" s="32">
        <f>TRUNC(SUMIF(O49:O57, "T11", C49:C57), 1)</f>
        <v>0</v>
      </c>
      <c r="D58" s="32">
        <f>TRUNC(SUMIF(O49:O57, "T11", D49:D57), 1)</f>
        <v>91.7</v>
      </c>
      <c r="E58" s="32">
        <f>TRUNC(SUM(B58,C58, D58), 1)</f>
        <v>91.7</v>
      </c>
      <c r="F58" s="31" t="s">
        <v>53</v>
      </c>
      <c r="G58" s="1" t="s">
        <v>254</v>
      </c>
      <c r="H58" s="1" t="s">
        <v>431</v>
      </c>
      <c r="I58" s="1" t="s">
        <v>502</v>
      </c>
      <c r="J58" s="1" t="s">
        <v>53</v>
      </c>
      <c r="K58" s="1" t="s">
        <v>53</v>
      </c>
      <c r="M58" s="1" t="s">
        <v>466</v>
      </c>
      <c r="O58" s="1" t="s">
        <v>53</v>
      </c>
      <c r="P58" s="1" t="s">
        <v>53</v>
      </c>
      <c r="Q58" s="1" t="s">
        <v>53</v>
      </c>
      <c r="R58" s="1" t="s">
        <v>53</v>
      </c>
      <c r="S58" s="1" t="s">
        <v>53</v>
      </c>
      <c r="T58" s="1" t="s">
        <v>53</v>
      </c>
    </row>
    <row r="59" spans="1:20" ht="20" customHeight="1" x14ac:dyDescent="0.45">
      <c r="A59" s="31" t="s">
        <v>437</v>
      </c>
      <c r="B59" s="32">
        <v>0</v>
      </c>
      <c r="C59" s="32">
        <v>0</v>
      </c>
      <c r="D59" s="32">
        <v>0</v>
      </c>
      <c r="E59" s="32">
        <v>0</v>
      </c>
      <c r="F59" s="31" t="s">
        <v>53</v>
      </c>
      <c r="G59" s="1" t="s">
        <v>254</v>
      </c>
      <c r="H59" s="1" t="s">
        <v>431</v>
      </c>
      <c r="I59" s="1" t="s">
        <v>53</v>
      </c>
      <c r="J59" s="1" t="s">
        <v>53</v>
      </c>
      <c r="K59" s="1" t="s">
        <v>53</v>
      </c>
      <c r="M59" s="1" t="s">
        <v>53</v>
      </c>
      <c r="O59" s="1" t="s">
        <v>53</v>
      </c>
      <c r="P59" s="1" t="s">
        <v>53</v>
      </c>
      <c r="Q59" s="1" t="s">
        <v>53</v>
      </c>
      <c r="R59" s="1" t="s">
        <v>53</v>
      </c>
      <c r="S59" s="1" t="s">
        <v>53</v>
      </c>
      <c r="T59" s="1" t="s">
        <v>53</v>
      </c>
    </row>
    <row r="60" spans="1:20" ht="20" customHeight="1" x14ac:dyDescent="0.45">
      <c r="A60" s="31" t="s">
        <v>437</v>
      </c>
      <c r="B60" s="32">
        <v>0</v>
      </c>
      <c r="C60" s="32">
        <v>0</v>
      </c>
      <c r="D60" s="32">
        <v>0</v>
      </c>
      <c r="E60" s="32">
        <v>0</v>
      </c>
      <c r="F60" s="31" t="s">
        <v>53</v>
      </c>
      <c r="G60" s="1" t="s">
        <v>254</v>
      </c>
      <c r="H60" s="1" t="s">
        <v>431</v>
      </c>
      <c r="I60" s="1" t="s">
        <v>53</v>
      </c>
      <c r="J60" s="1" t="s">
        <v>53</v>
      </c>
      <c r="K60" s="1" t="s">
        <v>53</v>
      </c>
      <c r="M60" s="1" t="s">
        <v>53</v>
      </c>
      <c r="O60" s="1" t="s">
        <v>53</v>
      </c>
      <c r="P60" s="1" t="s">
        <v>53</v>
      </c>
      <c r="Q60" s="1" t="s">
        <v>53</v>
      </c>
      <c r="R60" s="1" t="s">
        <v>53</v>
      </c>
      <c r="S60" s="1" t="s">
        <v>53</v>
      </c>
      <c r="T60" s="1" t="s">
        <v>53</v>
      </c>
    </row>
    <row r="61" spans="1:20" ht="20" customHeight="1" x14ac:dyDescent="0.45">
      <c r="A61" s="31" t="s">
        <v>437</v>
      </c>
      <c r="B61" s="32">
        <v>0</v>
      </c>
      <c r="C61" s="32">
        <v>0</v>
      </c>
      <c r="D61" s="32">
        <v>0</v>
      </c>
      <c r="E61" s="32">
        <v>0</v>
      </c>
      <c r="F61" s="31" t="s">
        <v>53</v>
      </c>
      <c r="G61" s="1" t="s">
        <v>254</v>
      </c>
      <c r="H61" s="1" t="s">
        <v>431</v>
      </c>
      <c r="I61" s="1" t="s">
        <v>53</v>
      </c>
      <c r="J61" s="1" t="s">
        <v>53</v>
      </c>
      <c r="K61" s="1" t="s">
        <v>53</v>
      </c>
      <c r="M61" s="1" t="s">
        <v>53</v>
      </c>
      <c r="O61" s="1" t="s">
        <v>53</v>
      </c>
      <c r="P61" s="1" t="s">
        <v>53</v>
      </c>
      <c r="Q61" s="1" t="s">
        <v>53</v>
      </c>
      <c r="R61" s="1" t="s">
        <v>53</v>
      </c>
      <c r="S61" s="1" t="s">
        <v>53</v>
      </c>
      <c r="T61" s="1" t="s">
        <v>53</v>
      </c>
    </row>
    <row r="62" spans="1:20" ht="20" customHeight="1" x14ac:dyDescent="0.45">
      <c r="A62" s="31" t="s">
        <v>491</v>
      </c>
      <c r="B62" s="32">
        <v>0</v>
      </c>
      <c r="C62" s="32">
        <v>0</v>
      </c>
      <c r="D62" s="32">
        <v>0</v>
      </c>
      <c r="E62" s="32">
        <v>0</v>
      </c>
      <c r="F62" s="31" t="s">
        <v>53</v>
      </c>
      <c r="G62" s="1" t="s">
        <v>254</v>
      </c>
      <c r="H62" s="1" t="s">
        <v>431</v>
      </c>
      <c r="I62" s="1" t="s">
        <v>491</v>
      </c>
      <c r="J62" s="1" t="s">
        <v>53</v>
      </c>
      <c r="K62" s="1" t="s">
        <v>53</v>
      </c>
      <c r="M62" s="1" t="s">
        <v>53</v>
      </c>
      <c r="O62" s="1" t="s">
        <v>53</v>
      </c>
      <c r="P62" s="1" t="s">
        <v>53</v>
      </c>
      <c r="Q62" s="1" t="s">
        <v>53</v>
      </c>
      <c r="R62" s="1" t="s">
        <v>53</v>
      </c>
      <c r="S62" s="1" t="s">
        <v>53</v>
      </c>
      <c r="T62" s="1" t="s">
        <v>53</v>
      </c>
    </row>
    <row r="63" spans="1:20" ht="20" customHeight="1" x14ac:dyDescent="0.45">
      <c r="A63" s="35" t="s">
        <v>513</v>
      </c>
      <c r="B63" s="36">
        <f>TRUNC(SUMIF(T48:T62, "TT", B48:B62), 0)</f>
        <v>0</v>
      </c>
      <c r="C63" s="36">
        <f>TRUNC(SUMIF(T48:T62, "TT", C48:C62), 0)</f>
        <v>0</v>
      </c>
      <c r="D63" s="36">
        <f>TRUNC(SUMIF(T48:T62, "TT", D48:D62), 0)</f>
        <v>91</v>
      </c>
      <c r="E63" s="36">
        <f>TRUNC(SUM(B63,C63, D63), 0)</f>
        <v>91</v>
      </c>
      <c r="F63" s="37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DF2EB-DD2B-40A0-8962-E341FC508740}">
  <sheetPr>
    <pageSetUpPr fitToPage="1"/>
  </sheetPr>
  <dimension ref="A1:AB44"/>
  <sheetViews>
    <sheetView workbookViewId="0"/>
  </sheetViews>
  <sheetFormatPr defaultRowHeight="17" x14ac:dyDescent="0.45"/>
  <cols>
    <col min="1" max="1" width="12.58203125" customWidth="1"/>
    <col min="2" max="3" width="30.58203125" customWidth="1"/>
    <col min="4" max="4" width="4.58203125" customWidth="1"/>
    <col min="5" max="5" width="13.58203125" customWidth="1"/>
    <col min="6" max="6" width="4.58203125" customWidth="1"/>
    <col min="7" max="7" width="13.58203125" customWidth="1"/>
    <col min="8" max="8" width="4.58203125" customWidth="1"/>
    <col min="9" max="9" width="13.58203125" customWidth="1"/>
    <col min="10" max="10" width="4.58203125" customWidth="1"/>
    <col min="11" max="11" width="13.58203125" customWidth="1"/>
    <col min="12" max="12" width="4.58203125" customWidth="1"/>
    <col min="13" max="13" width="13.58203125" customWidth="1"/>
    <col min="14" max="14" width="4.58203125" customWidth="1"/>
    <col min="15" max="22" width="13.58203125" customWidth="1"/>
    <col min="23" max="23" width="8.58203125" customWidth="1"/>
    <col min="24" max="24" width="12.58203125" customWidth="1"/>
    <col min="25" max="27" width="1.58203125" hidden="1" customWidth="1"/>
    <col min="28" max="28" width="10.58203125" hidden="1" customWidth="1"/>
  </cols>
  <sheetData>
    <row r="1" spans="1:28" ht="30" customHeight="1" x14ac:dyDescent="0.45">
      <c r="A1" s="49" t="s">
        <v>536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</row>
    <row r="2" spans="1:28" ht="30" customHeight="1" x14ac:dyDescent="0.45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</row>
    <row r="3" spans="1:28" ht="30" customHeight="1" x14ac:dyDescent="0.45">
      <c r="A3" s="47" t="s">
        <v>178</v>
      </c>
      <c r="B3" s="47" t="s">
        <v>2</v>
      </c>
      <c r="C3" s="47" t="s">
        <v>425</v>
      </c>
      <c r="D3" s="47" t="s">
        <v>4</v>
      </c>
      <c r="E3" s="47" t="s">
        <v>6</v>
      </c>
      <c r="F3" s="47"/>
      <c r="G3" s="47"/>
      <c r="H3" s="47"/>
      <c r="I3" s="47"/>
      <c r="J3" s="47"/>
      <c r="K3" s="47"/>
      <c r="L3" s="47"/>
      <c r="M3" s="47"/>
      <c r="N3" s="47"/>
      <c r="O3" s="47"/>
      <c r="P3" s="47" t="s">
        <v>180</v>
      </c>
      <c r="Q3" s="47" t="s">
        <v>181</v>
      </c>
      <c r="R3" s="47"/>
      <c r="S3" s="47"/>
      <c r="T3" s="47"/>
      <c r="U3" s="47"/>
      <c r="V3" s="47"/>
      <c r="W3" s="47" t="s">
        <v>183</v>
      </c>
      <c r="X3" s="47" t="s">
        <v>12</v>
      </c>
      <c r="Y3" s="44" t="s">
        <v>544</v>
      </c>
      <c r="Z3" s="44" t="s">
        <v>545</v>
      </c>
      <c r="AA3" s="44" t="s">
        <v>546</v>
      </c>
      <c r="AB3" s="44" t="s">
        <v>49</v>
      </c>
    </row>
    <row r="4" spans="1:28" ht="30" customHeight="1" x14ac:dyDescent="0.45">
      <c r="A4" s="47"/>
      <c r="B4" s="47"/>
      <c r="C4" s="47"/>
      <c r="D4" s="47"/>
      <c r="E4" s="7" t="s">
        <v>537</v>
      </c>
      <c r="F4" s="7" t="s">
        <v>538</v>
      </c>
      <c r="G4" s="7" t="s">
        <v>539</v>
      </c>
      <c r="H4" s="7" t="s">
        <v>538</v>
      </c>
      <c r="I4" s="7" t="s">
        <v>540</v>
      </c>
      <c r="J4" s="7" t="s">
        <v>538</v>
      </c>
      <c r="K4" s="7" t="s">
        <v>541</v>
      </c>
      <c r="L4" s="7" t="s">
        <v>538</v>
      </c>
      <c r="M4" s="7" t="s">
        <v>542</v>
      </c>
      <c r="N4" s="7" t="s">
        <v>538</v>
      </c>
      <c r="O4" s="7" t="s">
        <v>543</v>
      </c>
      <c r="P4" s="47"/>
      <c r="Q4" s="7" t="s">
        <v>537</v>
      </c>
      <c r="R4" s="7" t="s">
        <v>539</v>
      </c>
      <c r="S4" s="7" t="s">
        <v>540</v>
      </c>
      <c r="T4" s="7" t="s">
        <v>541</v>
      </c>
      <c r="U4" s="7" t="s">
        <v>542</v>
      </c>
      <c r="V4" s="7" t="s">
        <v>543</v>
      </c>
      <c r="W4" s="47"/>
      <c r="X4" s="47"/>
      <c r="Y4" s="44"/>
      <c r="Z4" s="44"/>
      <c r="AA4" s="44"/>
      <c r="AB4" s="44"/>
    </row>
    <row r="5" spans="1:28" ht="30" customHeight="1" x14ac:dyDescent="0.45">
      <c r="A5" s="16" t="s">
        <v>547</v>
      </c>
      <c r="B5" s="16" t="s">
        <v>401</v>
      </c>
      <c r="C5" s="16" t="s">
        <v>402</v>
      </c>
      <c r="D5" s="38" t="s">
        <v>144</v>
      </c>
      <c r="E5" s="39">
        <v>0</v>
      </c>
      <c r="F5" s="16" t="s">
        <v>53</v>
      </c>
      <c r="G5" s="39">
        <v>0</v>
      </c>
      <c r="H5" s="16" t="s">
        <v>548</v>
      </c>
      <c r="I5" s="39">
        <v>0</v>
      </c>
      <c r="J5" s="16" t="s">
        <v>549</v>
      </c>
      <c r="K5" s="39">
        <v>0</v>
      </c>
      <c r="L5" s="16" t="s">
        <v>550</v>
      </c>
      <c r="M5" s="39">
        <v>0</v>
      </c>
      <c r="N5" s="16" t="s">
        <v>551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  <c r="T5" s="39">
        <v>41200</v>
      </c>
      <c r="U5" s="39">
        <v>0</v>
      </c>
      <c r="V5" s="39">
        <f>SMALL(Q5:U5,COUNTIF(Q5:U5,0)+1)</f>
        <v>41200</v>
      </c>
      <c r="W5" s="16" t="s">
        <v>552</v>
      </c>
      <c r="X5" s="16" t="s">
        <v>311</v>
      </c>
      <c r="Y5" s="1" t="s">
        <v>53</v>
      </c>
      <c r="Z5" s="1" t="s">
        <v>53</v>
      </c>
      <c r="AA5" s="40"/>
      <c r="AB5" s="1" t="s">
        <v>53</v>
      </c>
    </row>
    <row r="6" spans="1:28" ht="30" customHeight="1" x14ac:dyDescent="0.45">
      <c r="A6" s="16" t="s">
        <v>553</v>
      </c>
      <c r="B6" s="16" t="s">
        <v>221</v>
      </c>
      <c r="C6" s="16" t="s">
        <v>222</v>
      </c>
      <c r="D6" s="38" t="s">
        <v>144</v>
      </c>
      <c r="E6" s="39">
        <v>0</v>
      </c>
      <c r="F6" s="16" t="s">
        <v>53</v>
      </c>
      <c r="G6" s="39">
        <v>0</v>
      </c>
      <c r="H6" s="16" t="s">
        <v>53</v>
      </c>
      <c r="I6" s="39">
        <v>0</v>
      </c>
      <c r="J6" s="16" t="s">
        <v>53</v>
      </c>
      <c r="K6" s="39">
        <v>0</v>
      </c>
      <c r="L6" s="16" t="s">
        <v>53</v>
      </c>
      <c r="M6" s="39">
        <v>0</v>
      </c>
      <c r="N6" s="16" t="s">
        <v>53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  <c r="T6" s="39">
        <v>0</v>
      </c>
      <c r="U6" s="39">
        <v>1375</v>
      </c>
      <c r="V6" s="39">
        <f>SMALL(Q6:U6,COUNTIF(Q6:U6,0)+1)</f>
        <v>1375</v>
      </c>
      <c r="W6" s="16" t="s">
        <v>554</v>
      </c>
      <c r="X6" s="16" t="s">
        <v>311</v>
      </c>
      <c r="Y6" s="1" t="s">
        <v>53</v>
      </c>
      <c r="Z6" s="1" t="s">
        <v>53</v>
      </c>
      <c r="AA6" s="40"/>
      <c r="AB6" s="1" t="s">
        <v>53</v>
      </c>
    </row>
    <row r="7" spans="1:28" ht="30" customHeight="1" x14ac:dyDescent="0.45">
      <c r="A7" s="16" t="s">
        <v>555</v>
      </c>
      <c r="B7" s="16" t="s">
        <v>336</v>
      </c>
      <c r="C7" s="16" t="s">
        <v>337</v>
      </c>
      <c r="D7" s="38" t="s">
        <v>69</v>
      </c>
      <c r="E7" s="39">
        <v>0</v>
      </c>
      <c r="F7" s="16" t="s">
        <v>53</v>
      </c>
      <c r="G7" s="39">
        <v>0</v>
      </c>
      <c r="H7" s="16" t="s">
        <v>53</v>
      </c>
      <c r="I7" s="39">
        <v>0</v>
      </c>
      <c r="J7" s="16" t="s">
        <v>53</v>
      </c>
      <c r="K7" s="39">
        <v>34000</v>
      </c>
      <c r="L7" s="16" t="s">
        <v>556</v>
      </c>
      <c r="M7" s="39">
        <v>0</v>
      </c>
      <c r="N7" s="16" t="s">
        <v>53</v>
      </c>
      <c r="O7" s="39">
        <f t="shared" ref="O7:O19" si="0">SMALL(E7:M7,COUNTIF(E7:M7,0)+1)</f>
        <v>34000</v>
      </c>
      <c r="P7" s="39">
        <v>0</v>
      </c>
      <c r="Q7" s="39">
        <v>0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16" t="s">
        <v>557</v>
      </c>
      <c r="X7" s="16" t="s">
        <v>53</v>
      </c>
      <c r="Y7" s="1" t="s">
        <v>53</v>
      </c>
      <c r="Z7" s="1" t="s">
        <v>53</v>
      </c>
      <c r="AA7" s="40"/>
      <c r="AB7" s="1" t="s">
        <v>53</v>
      </c>
    </row>
    <row r="8" spans="1:28" ht="30" customHeight="1" x14ac:dyDescent="0.45">
      <c r="A8" s="16" t="s">
        <v>558</v>
      </c>
      <c r="B8" s="16" t="s">
        <v>333</v>
      </c>
      <c r="C8" s="16" t="s">
        <v>329</v>
      </c>
      <c r="D8" s="38" t="s">
        <v>69</v>
      </c>
      <c r="E8" s="39">
        <v>0</v>
      </c>
      <c r="F8" s="16" t="s">
        <v>53</v>
      </c>
      <c r="G8" s="39">
        <v>0</v>
      </c>
      <c r="H8" s="16" t="s">
        <v>53</v>
      </c>
      <c r="I8" s="39">
        <v>0</v>
      </c>
      <c r="J8" s="16" t="s">
        <v>53</v>
      </c>
      <c r="K8" s="39">
        <v>0</v>
      </c>
      <c r="L8" s="16" t="s">
        <v>53</v>
      </c>
      <c r="M8" s="39">
        <v>60000</v>
      </c>
      <c r="N8" s="16" t="s">
        <v>559</v>
      </c>
      <c r="O8" s="39">
        <f t="shared" si="0"/>
        <v>60000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16" t="s">
        <v>560</v>
      </c>
      <c r="X8" s="16" t="s">
        <v>53</v>
      </c>
      <c r="Y8" s="1" t="s">
        <v>53</v>
      </c>
      <c r="Z8" s="1" t="s">
        <v>53</v>
      </c>
      <c r="AA8" s="40"/>
      <c r="AB8" s="1" t="s">
        <v>53</v>
      </c>
    </row>
    <row r="9" spans="1:28" ht="30" customHeight="1" x14ac:dyDescent="0.45">
      <c r="A9" s="16" t="s">
        <v>561</v>
      </c>
      <c r="B9" s="16" t="s">
        <v>347</v>
      </c>
      <c r="C9" s="16" t="s">
        <v>348</v>
      </c>
      <c r="D9" s="38" t="s">
        <v>61</v>
      </c>
      <c r="E9" s="39">
        <v>0</v>
      </c>
      <c r="F9" s="16" t="s">
        <v>53</v>
      </c>
      <c r="G9" s="39">
        <v>0</v>
      </c>
      <c r="H9" s="16" t="s">
        <v>53</v>
      </c>
      <c r="I9" s="39">
        <v>0</v>
      </c>
      <c r="J9" s="16" t="s">
        <v>53</v>
      </c>
      <c r="K9" s="39">
        <v>0</v>
      </c>
      <c r="L9" s="16" t="s">
        <v>53</v>
      </c>
      <c r="M9" s="39">
        <v>15016.12</v>
      </c>
      <c r="N9" s="16" t="s">
        <v>562</v>
      </c>
      <c r="O9" s="39">
        <f t="shared" si="0"/>
        <v>15016.12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16" t="s">
        <v>563</v>
      </c>
      <c r="X9" s="16" t="s">
        <v>53</v>
      </c>
      <c r="Y9" s="1" t="s">
        <v>53</v>
      </c>
      <c r="Z9" s="1" t="s">
        <v>53</v>
      </c>
      <c r="AA9" s="40"/>
      <c r="AB9" s="1" t="s">
        <v>53</v>
      </c>
    </row>
    <row r="10" spans="1:28" ht="30" customHeight="1" x14ac:dyDescent="0.45">
      <c r="A10" s="16" t="s">
        <v>564</v>
      </c>
      <c r="B10" s="16" t="s">
        <v>282</v>
      </c>
      <c r="C10" s="16" t="s">
        <v>283</v>
      </c>
      <c r="D10" s="38" t="s">
        <v>171</v>
      </c>
      <c r="E10" s="39">
        <v>0</v>
      </c>
      <c r="F10" s="16" t="s">
        <v>53</v>
      </c>
      <c r="G10" s="39">
        <v>360</v>
      </c>
      <c r="H10" s="16" t="s">
        <v>565</v>
      </c>
      <c r="I10" s="39">
        <v>0</v>
      </c>
      <c r="J10" s="16" t="s">
        <v>566</v>
      </c>
      <c r="K10" s="39">
        <v>0</v>
      </c>
      <c r="L10" s="16" t="s">
        <v>53</v>
      </c>
      <c r="M10" s="39">
        <v>0</v>
      </c>
      <c r="N10" s="16" t="s">
        <v>53</v>
      </c>
      <c r="O10" s="39">
        <f t="shared" si="0"/>
        <v>360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16" t="s">
        <v>567</v>
      </c>
      <c r="X10" s="16" t="s">
        <v>284</v>
      </c>
      <c r="Y10" s="1" t="s">
        <v>53</v>
      </c>
      <c r="Z10" s="1" t="s">
        <v>53</v>
      </c>
      <c r="AA10" s="40"/>
      <c r="AB10" s="1" t="s">
        <v>53</v>
      </c>
    </row>
    <row r="11" spans="1:28" ht="30" customHeight="1" x14ac:dyDescent="0.45">
      <c r="A11" s="16" t="s">
        <v>568</v>
      </c>
      <c r="B11" s="16" t="s">
        <v>169</v>
      </c>
      <c r="C11" s="16" t="s">
        <v>170</v>
      </c>
      <c r="D11" s="38" t="s">
        <v>171</v>
      </c>
      <c r="E11" s="39">
        <v>0</v>
      </c>
      <c r="F11" s="16" t="s">
        <v>53</v>
      </c>
      <c r="G11" s="39">
        <v>360</v>
      </c>
      <c r="H11" s="16" t="s">
        <v>565</v>
      </c>
      <c r="I11" s="39">
        <v>0</v>
      </c>
      <c r="J11" s="16" t="s">
        <v>53</v>
      </c>
      <c r="K11" s="39">
        <v>0</v>
      </c>
      <c r="L11" s="16" t="s">
        <v>53</v>
      </c>
      <c r="M11" s="39">
        <v>0</v>
      </c>
      <c r="N11" s="16" t="s">
        <v>53</v>
      </c>
      <c r="O11" s="39">
        <f t="shared" si="0"/>
        <v>360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16" t="s">
        <v>569</v>
      </c>
      <c r="X11" s="16" t="s">
        <v>284</v>
      </c>
      <c r="Y11" s="1" t="s">
        <v>53</v>
      </c>
      <c r="Z11" s="1" t="s">
        <v>53</v>
      </c>
      <c r="AA11" s="40"/>
      <c r="AB11" s="1" t="s">
        <v>53</v>
      </c>
    </row>
    <row r="12" spans="1:28" ht="30" customHeight="1" x14ac:dyDescent="0.45">
      <c r="A12" s="16" t="s">
        <v>570</v>
      </c>
      <c r="B12" s="16" t="s">
        <v>169</v>
      </c>
      <c r="C12" s="16" t="s">
        <v>174</v>
      </c>
      <c r="D12" s="38" t="s">
        <v>171</v>
      </c>
      <c r="E12" s="39">
        <v>0</v>
      </c>
      <c r="F12" s="16" t="s">
        <v>53</v>
      </c>
      <c r="G12" s="39">
        <v>0</v>
      </c>
      <c r="H12" s="16" t="s">
        <v>53</v>
      </c>
      <c r="I12" s="39">
        <v>3500</v>
      </c>
      <c r="J12" s="16" t="s">
        <v>566</v>
      </c>
      <c r="K12" s="39">
        <v>0</v>
      </c>
      <c r="L12" s="16" t="s">
        <v>53</v>
      </c>
      <c r="M12" s="39">
        <v>0</v>
      </c>
      <c r="N12" s="16" t="s">
        <v>53</v>
      </c>
      <c r="O12" s="39">
        <f t="shared" si="0"/>
        <v>3500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16" t="s">
        <v>571</v>
      </c>
      <c r="X12" s="16" t="s">
        <v>284</v>
      </c>
      <c r="Y12" s="1" t="s">
        <v>53</v>
      </c>
      <c r="Z12" s="1" t="s">
        <v>53</v>
      </c>
      <c r="AA12" s="40"/>
      <c r="AB12" s="1" t="s">
        <v>53</v>
      </c>
    </row>
    <row r="13" spans="1:28" ht="30" customHeight="1" x14ac:dyDescent="0.45">
      <c r="A13" s="16" t="s">
        <v>572</v>
      </c>
      <c r="B13" s="16" t="s">
        <v>294</v>
      </c>
      <c r="C13" s="16" t="s">
        <v>295</v>
      </c>
      <c r="D13" s="38" t="s">
        <v>171</v>
      </c>
      <c r="E13" s="39">
        <v>0</v>
      </c>
      <c r="F13" s="16" t="s">
        <v>53</v>
      </c>
      <c r="G13" s="39">
        <v>0</v>
      </c>
      <c r="H13" s="16" t="s">
        <v>53</v>
      </c>
      <c r="I13" s="39">
        <v>0</v>
      </c>
      <c r="J13" s="16" t="s">
        <v>53</v>
      </c>
      <c r="K13" s="39">
        <v>0</v>
      </c>
      <c r="L13" s="16" t="s">
        <v>53</v>
      </c>
      <c r="M13" s="39">
        <v>1011</v>
      </c>
      <c r="N13" s="16" t="s">
        <v>573</v>
      </c>
      <c r="O13" s="39">
        <f t="shared" si="0"/>
        <v>1011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16" t="s">
        <v>574</v>
      </c>
      <c r="X13" s="16" t="s">
        <v>53</v>
      </c>
      <c r="Y13" s="1" t="s">
        <v>53</v>
      </c>
      <c r="Z13" s="1" t="s">
        <v>53</v>
      </c>
      <c r="AA13" s="40"/>
      <c r="AB13" s="1" t="s">
        <v>53</v>
      </c>
    </row>
    <row r="14" spans="1:28" ht="30" customHeight="1" x14ac:dyDescent="0.45">
      <c r="A14" s="16" t="s">
        <v>575</v>
      </c>
      <c r="B14" s="16" t="s">
        <v>298</v>
      </c>
      <c r="C14" s="16" t="s">
        <v>53</v>
      </c>
      <c r="D14" s="38" t="s">
        <v>171</v>
      </c>
      <c r="E14" s="39">
        <v>0</v>
      </c>
      <c r="F14" s="16" t="s">
        <v>53</v>
      </c>
      <c r="G14" s="39">
        <v>0</v>
      </c>
      <c r="H14" s="16" t="s">
        <v>53</v>
      </c>
      <c r="I14" s="39">
        <v>0</v>
      </c>
      <c r="J14" s="16" t="s">
        <v>53</v>
      </c>
      <c r="K14" s="39">
        <v>0</v>
      </c>
      <c r="L14" s="16" t="s">
        <v>53</v>
      </c>
      <c r="M14" s="39">
        <v>980</v>
      </c>
      <c r="N14" s="16" t="s">
        <v>576</v>
      </c>
      <c r="O14" s="39">
        <f t="shared" si="0"/>
        <v>980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16" t="s">
        <v>577</v>
      </c>
      <c r="X14" s="16" t="s">
        <v>53</v>
      </c>
      <c r="Y14" s="1" t="s">
        <v>53</v>
      </c>
      <c r="Z14" s="1" t="s">
        <v>53</v>
      </c>
      <c r="AA14" s="40"/>
      <c r="AB14" s="1" t="s">
        <v>53</v>
      </c>
    </row>
    <row r="15" spans="1:28" ht="30" customHeight="1" x14ac:dyDescent="0.45">
      <c r="A15" s="16" t="s">
        <v>578</v>
      </c>
      <c r="B15" s="16" t="s">
        <v>353</v>
      </c>
      <c r="C15" s="16" t="s">
        <v>354</v>
      </c>
      <c r="D15" s="38" t="s">
        <v>69</v>
      </c>
      <c r="E15" s="39">
        <v>0</v>
      </c>
      <c r="F15" s="16" t="s">
        <v>53</v>
      </c>
      <c r="G15" s="39">
        <v>0</v>
      </c>
      <c r="H15" s="16" t="s">
        <v>53</v>
      </c>
      <c r="I15" s="39">
        <v>0</v>
      </c>
      <c r="J15" s="16" t="s">
        <v>53</v>
      </c>
      <c r="K15" s="39">
        <v>718740</v>
      </c>
      <c r="L15" s="16" t="s">
        <v>579</v>
      </c>
      <c r="M15" s="39">
        <v>0</v>
      </c>
      <c r="N15" s="16" t="s">
        <v>53</v>
      </c>
      <c r="O15" s="39">
        <f t="shared" si="0"/>
        <v>718740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16" t="s">
        <v>580</v>
      </c>
      <c r="X15" s="16" t="s">
        <v>53</v>
      </c>
      <c r="Y15" s="1" t="s">
        <v>53</v>
      </c>
      <c r="Z15" s="1" t="s">
        <v>53</v>
      </c>
      <c r="AA15" s="40"/>
      <c r="AB15" s="1" t="s">
        <v>53</v>
      </c>
    </row>
    <row r="16" spans="1:28" ht="30" customHeight="1" x14ac:dyDescent="0.45">
      <c r="A16" s="16" t="s">
        <v>581</v>
      </c>
      <c r="B16" s="16" t="s">
        <v>328</v>
      </c>
      <c r="C16" s="16" t="s">
        <v>329</v>
      </c>
      <c r="D16" s="38" t="s">
        <v>171</v>
      </c>
      <c r="E16" s="39">
        <v>0</v>
      </c>
      <c r="F16" s="16" t="s">
        <v>53</v>
      </c>
      <c r="G16" s="39">
        <v>0</v>
      </c>
      <c r="H16" s="16" t="s">
        <v>53</v>
      </c>
      <c r="I16" s="39">
        <v>0</v>
      </c>
      <c r="J16" s="16" t="s">
        <v>53</v>
      </c>
      <c r="K16" s="39">
        <v>202.27</v>
      </c>
      <c r="L16" s="16" t="s">
        <v>582</v>
      </c>
      <c r="M16" s="39">
        <v>215.9</v>
      </c>
      <c r="N16" s="16" t="s">
        <v>583</v>
      </c>
      <c r="O16" s="39">
        <f t="shared" si="0"/>
        <v>202.27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16" t="s">
        <v>584</v>
      </c>
      <c r="X16" s="16" t="s">
        <v>53</v>
      </c>
      <c r="Y16" s="1" t="s">
        <v>53</v>
      </c>
      <c r="Z16" s="1" t="s">
        <v>53</v>
      </c>
      <c r="AA16" s="40"/>
      <c r="AB16" s="1" t="s">
        <v>53</v>
      </c>
    </row>
    <row r="17" spans="1:28" ht="30" customHeight="1" x14ac:dyDescent="0.45">
      <c r="A17" s="16" t="s">
        <v>585</v>
      </c>
      <c r="B17" s="16" t="s">
        <v>385</v>
      </c>
      <c r="C17" s="16" t="s">
        <v>304</v>
      </c>
      <c r="D17" s="38" t="s">
        <v>305</v>
      </c>
      <c r="E17" s="39">
        <v>0</v>
      </c>
      <c r="F17" s="16" t="s">
        <v>53</v>
      </c>
      <c r="G17" s="39">
        <v>170</v>
      </c>
      <c r="H17" s="16" t="s">
        <v>586</v>
      </c>
      <c r="I17" s="39">
        <v>160</v>
      </c>
      <c r="J17" s="16" t="s">
        <v>587</v>
      </c>
      <c r="K17" s="39">
        <v>0</v>
      </c>
      <c r="L17" s="16" t="s">
        <v>53</v>
      </c>
      <c r="M17" s="39">
        <v>0</v>
      </c>
      <c r="N17" s="16" t="s">
        <v>53</v>
      </c>
      <c r="O17" s="39">
        <f t="shared" si="0"/>
        <v>160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16" t="s">
        <v>588</v>
      </c>
      <c r="X17" s="16" t="s">
        <v>53</v>
      </c>
      <c r="Y17" s="1" t="s">
        <v>53</v>
      </c>
      <c r="Z17" s="1" t="s">
        <v>53</v>
      </c>
      <c r="AA17" s="40"/>
      <c r="AB17" s="1" t="s">
        <v>53</v>
      </c>
    </row>
    <row r="18" spans="1:28" ht="30" customHeight="1" x14ac:dyDescent="0.45">
      <c r="A18" s="16" t="s">
        <v>589</v>
      </c>
      <c r="B18" s="16" t="s">
        <v>273</v>
      </c>
      <c r="C18" s="16" t="s">
        <v>288</v>
      </c>
      <c r="D18" s="38" t="s">
        <v>84</v>
      </c>
      <c r="E18" s="39">
        <v>0</v>
      </c>
      <c r="F18" s="16" t="s">
        <v>53</v>
      </c>
      <c r="G18" s="39">
        <v>0</v>
      </c>
      <c r="H18" s="16" t="s">
        <v>53</v>
      </c>
      <c r="I18" s="39">
        <v>0</v>
      </c>
      <c r="J18" s="16" t="s">
        <v>53</v>
      </c>
      <c r="K18" s="39">
        <v>0</v>
      </c>
      <c r="L18" s="16" t="s">
        <v>53</v>
      </c>
      <c r="M18" s="39">
        <v>12268.38</v>
      </c>
      <c r="N18" s="16" t="s">
        <v>590</v>
      </c>
      <c r="O18" s="39">
        <f t="shared" si="0"/>
        <v>12268.38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16" t="s">
        <v>591</v>
      </c>
      <c r="X18" s="16" t="s">
        <v>53</v>
      </c>
      <c r="Y18" s="1" t="s">
        <v>53</v>
      </c>
      <c r="Z18" s="1" t="s">
        <v>53</v>
      </c>
      <c r="AA18" s="40"/>
      <c r="AB18" s="1" t="s">
        <v>53</v>
      </c>
    </row>
    <row r="19" spans="1:28" ht="30" customHeight="1" x14ac:dyDescent="0.45">
      <c r="A19" s="16" t="s">
        <v>592</v>
      </c>
      <c r="B19" s="16" t="s">
        <v>273</v>
      </c>
      <c r="C19" s="16" t="s">
        <v>274</v>
      </c>
      <c r="D19" s="38" t="s">
        <v>84</v>
      </c>
      <c r="E19" s="39">
        <v>0</v>
      </c>
      <c r="F19" s="16" t="s">
        <v>53</v>
      </c>
      <c r="G19" s="39">
        <v>0</v>
      </c>
      <c r="H19" s="16" t="s">
        <v>53</v>
      </c>
      <c r="I19" s="39">
        <v>0</v>
      </c>
      <c r="J19" s="16" t="s">
        <v>53</v>
      </c>
      <c r="K19" s="39">
        <v>0</v>
      </c>
      <c r="L19" s="16" t="s">
        <v>53</v>
      </c>
      <c r="M19" s="39">
        <v>17915.73</v>
      </c>
      <c r="N19" s="16" t="s">
        <v>590</v>
      </c>
      <c r="O19" s="39">
        <f t="shared" si="0"/>
        <v>17915.73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16" t="s">
        <v>593</v>
      </c>
      <c r="X19" s="16" t="s">
        <v>53</v>
      </c>
      <c r="Y19" s="1" t="s">
        <v>53</v>
      </c>
      <c r="Z19" s="1" t="s">
        <v>53</v>
      </c>
      <c r="AA19" s="40"/>
      <c r="AB19" s="1" t="s">
        <v>53</v>
      </c>
    </row>
    <row r="20" spans="1:28" ht="30" customHeight="1" x14ac:dyDescent="0.45">
      <c r="A20" s="16" t="s">
        <v>594</v>
      </c>
      <c r="B20" s="16" t="s">
        <v>151</v>
      </c>
      <c r="C20" s="16" t="s">
        <v>152</v>
      </c>
      <c r="D20" s="38" t="s">
        <v>108</v>
      </c>
      <c r="E20" s="39">
        <v>0</v>
      </c>
      <c r="F20" s="16" t="s">
        <v>53</v>
      </c>
      <c r="G20" s="39">
        <v>0</v>
      </c>
      <c r="H20" s="16" t="s">
        <v>53</v>
      </c>
      <c r="I20" s="39">
        <v>0</v>
      </c>
      <c r="J20" s="16" t="s">
        <v>53</v>
      </c>
      <c r="K20" s="39">
        <v>0</v>
      </c>
      <c r="L20" s="16" t="s">
        <v>595</v>
      </c>
      <c r="M20" s="39">
        <v>0</v>
      </c>
      <c r="N20" s="16" t="s">
        <v>53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450000</v>
      </c>
      <c r="U20" s="39">
        <v>0</v>
      </c>
      <c r="V20" s="39">
        <f t="shared" ref="V20:V25" si="1">SMALL(Q20:U20,COUNTIF(Q20:U20,0)+1)</f>
        <v>450000</v>
      </c>
      <c r="W20" s="16" t="s">
        <v>596</v>
      </c>
      <c r="X20" s="16" t="s">
        <v>53</v>
      </c>
      <c r="Y20" s="1" t="s">
        <v>168</v>
      </c>
      <c r="Z20" s="1" t="s">
        <v>53</v>
      </c>
      <c r="AA20" s="40"/>
      <c r="AB20" s="1" t="s">
        <v>53</v>
      </c>
    </row>
    <row r="21" spans="1:28" ht="30" customHeight="1" x14ac:dyDescent="0.45">
      <c r="A21" s="16" t="s">
        <v>597</v>
      </c>
      <c r="B21" s="16" t="s">
        <v>151</v>
      </c>
      <c r="C21" s="16" t="s">
        <v>155</v>
      </c>
      <c r="D21" s="38" t="s">
        <v>108</v>
      </c>
      <c r="E21" s="39">
        <v>0</v>
      </c>
      <c r="F21" s="16" t="s">
        <v>53</v>
      </c>
      <c r="G21" s="39">
        <v>0</v>
      </c>
      <c r="H21" s="16" t="s">
        <v>53</v>
      </c>
      <c r="I21" s="39">
        <v>0</v>
      </c>
      <c r="J21" s="16" t="s">
        <v>53</v>
      </c>
      <c r="K21" s="39">
        <v>0</v>
      </c>
      <c r="L21" s="16" t="s">
        <v>595</v>
      </c>
      <c r="M21" s="39">
        <v>0</v>
      </c>
      <c r="N21" s="16" t="s">
        <v>53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450000</v>
      </c>
      <c r="U21" s="39">
        <v>0</v>
      </c>
      <c r="V21" s="39">
        <f t="shared" si="1"/>
        <v>450000</v>
      </c>
      <c r="W21" s="16" t="s">
        <v>598</v>
      </c>
      <c r="X21" s="16" t="s">
        <v>53</v>
      </c>
      <c r="Y21" s="1" t="s">
        <v>168</v>
      </c>
      <c r="Z21" s="1" t="s">
        <v>53</v>
      </c>
      <c r="AA21" s="40"/>
      <c r="AB21" s="1" t="s">
        <v>53</v>
      </c>
    </row>
    <row r="22" spans="1:28" ht="30" customHeight="1" x14ac:dyDescent="0.45">
      <c r="A22" s="16" t="s">
        <v>599</v>
      </c>
      <c r="B22" s="16" t="s">
        <v>133</v>
      </c>
      <c r="C22" s="16" t="s">
        <v>53</v>
      </c>
      <c r="D22" s="38" t="s">
        <v>108</v>
      </c>
      <c r="E22" s="39">
        <v>0</v>
      </c>
      <c r="F22" s="16" t="s">
        <v>53</v>
      </c>
      <c r="G22" s="39">
        <v>0</v>
      </c>
      <c r="H22" s="16" t="s">
        <v>53</v>
      </c>
      <c r="I22" s="39">
        <v>0</v>
      </c>
      <c r="J22" s="16" t="s">
        <v>53</v>
      </c>
      <c r="K22" s="39">
        <v>0</v>
      </c>
      <c r="L22" s="16" t="s">
        <v>53</v>
      </c>
      <c r="M22" s="39">
        <v>0</v>
      </c>
      <c r="N22" s="16" t="s">
        <v>600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3890</v>
      </c>
      <c r="V22" s="39">
        <f t="shared" si="1"/>
        <v>3890</v>
      </c>
      <c r="W22" s="16" t="s">
        <v>601</v>
      </c>
      <c r="X22" s="16" t="s">
        <v>53</v>
      </c>
      <c r="Y22" s="1" t="s">
        <v>168</v>
      </c>
      <c r="Z22" s="1" t="s">
        <v>53</v>
      </c>
      <c r="AA22" s="40"/>
      <c r="AB22" s="1" t="s">
        <v>53</v>
      </c>
    </row>
    <row r="23" spans="1:28" ht="30" customHeight="1" x14ac:dyDescent="0.45">
      <c r="A23" s="16" t="s">
        <v>602</v>
      </c>
      <c r="B23" s="16" t="s">
        <v>136</v>
      </c>
      <c r="C23" s="16" t="s">
        <v>53</v>
      </c>
      <c r="D23" s="38" t="s">
        <v>108</v>
      </c>
      <c r="E23" s="39">
        <v>0</v>
      </c>
      <c r="F23" s="16" t="s">
        <v>53</v>
      </c>
      <c r="G23" s="39">
        <v>0</v>
      </c>
      <c r="H23" s="16" t="s">
        <v>53</v>
      </c>
      <c r="I23" s="39">
        <v>0</v>
      </c>
      <c r="J23" s="16" t="s">
        <v>53</v>
      </c>
      <c r="K23" s="39">
        <v>0</v>
      </c>
      <c r="L23" s="16" t="s">
        <v>53</v>
      </c>
      <c r="M23" s="39">
        <v>0</v>
      </c>
      <c r="N23" s="16" t="s">
        <v>600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6420</v>
      </c>
      <c r="V23" s="39">
        <f t="shared" si="1"/>
        <v>6420</v>
      </c>
      <c r="W23" s="16" t="s">
        <v>603</v>
      </c>
      <c r="X23" s="16" t="s">
        <v>53</v>
      </c>
      <c r="Y23" s="1" t="s">
        <v>168</v>
      </c>
      <c r="Z23" s="1" t="s">
        <v>53</v>
      </c>
      <c r="AA23" s="40"/>
      <c r="AB23" s="1" t="s">
        <v>53</v>
      </c>
    </row>
    <row r="24" spans="1:28" ht="30" customHeight="1" x14ac:dyDescent="0.45">
      <c r="A24" s="16" t="s">
        <v>604</v>
      </c>
      <c r="B24" s="16" t="s">
        <v>158</v>
      </c>
      <c r="C24" s="16" t="s">
        <v>159</v>
      </c>
      <c r="D24" s="38" t="s">
        <v>108</v>
      </c>
      <c r="E24" s="39">
        <v>0</v>
      </c>
      <c r="F24" s="16" t="s">
        <v>53</v>
      </c>
      <c r="G24" s="39">
        <v>0</v>
      </c>
      <c r="H24" s="16" t="s">
        <v>53</v>
      </c>
      <c r="I24" s="39">
        <v>0</v>
      </c>
      <c r="J24" s="16" t="s">
        <v>53</v>
      </c>
      <c r="K24" s="39">
        <v>0</v>
      </c>
      <c r="L24" s="16" t="s">
        <v>53</v>
      </c>
      <c r="M24" s="39">
        <v>0</v>
      </c>
      <c r="N24" s="16" t="s">
        <v>600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19700</v>
      </c>
      <c r="V24" s="39">
        <f t="shared" si="1"/>
        <v>19700</v>
      </c>
      <c r="W24" s="16" t="s">
        <v>605</v>
      </c>
      <c r="X24" s="16" t="s">
        <v>53</v>
      </c>
      <c r="Y24" s="1" t="s">
        <v>168</v>
      </c>
      <c r="Z24" s="1" t="s">
        <v>53</v>
      </c>
      <c r="AA24" s="40"/>
      <c r="AB24" s="1" t="s">
        <v>53</v>
      </c>
    </row>
    <row r="25" spans="1:28" ht="30" customHeight="1" x14ac:dyDescent="0.45">
      <c r="A25" s="16" t="s">
        <v>606</v>
      </c>
      <c r="B25" s="16" t="s">
        <v>162</v>
      </c>
      <c r="C25" s="16" t="s">
        <v>163</v>
      </c>
      <c r="D25" s="38" t="s">
        <v>108</v>
      </c>
      <c r="E25" s="39">
        <v>0</v>
      </c>
      <c r="F25" s="16" t="s">
        <v>53</v>
      </c>
      <c r="G25" s="39">
        <v>0</v>
      </c>
      <c r="H25" s="16" t="s">
        <v>53</v>
      </c>
      <c r="I25" s="39">
        <v>0</v>
      </c>
      <c r="J25" s="16" t="s">
        <v>53</v>
      </c>
      <c r="K25" s="39">
        <v>0</v>
      </c>
      <c r="L25" s="16" t="s">
        <v>53</v>
      </c>
      <c r="M25" s="39">
        <v>0</v>
      </c>
      <c r="N25" s="16" t="s">
        <v>600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74930</v>
      </c>
      <c r="V25" s="39">
        <f t="shared" si="1"/>
        <v>74930</v>
      </c>
      <c r="W25" s="16" t="s">
        <v>607</v>
      </c>
      <c r="X25" s="16" t="s">
        <v>53</v>
      </c>
      <c r="Y25" s="1" t="s">
        <v>168</v>
      </c>
      <c r="Z25" s="1" t="s">
        <v>53</v>
      </c>
      <c r="AA25" s="40"/>
      <c r="AB25" s="1" t="s">
        <v>53</v>
      </c>
    </row>
    <row r="26" spans="1:28" ht="30" customHeight="1" x14ac:dyDescent="0.45">
      <c r="A26" s="16" t="s">
        <v>608</v>
      </c>
      <c r="B26" s="16" t="s">
        <v>408</v>
      </c>
      <c r="C26" s="16" t="s">
        <v>409</v>
      </c>
      <c r="D26" s="38" t="s">
        <v>410</v>
      </c>
      <c r="E26" s="39">
        <v>1625</v>
      </c>
      <c r="F26" s="16" t="s">
        <v>53</v>
      </c>
      <c r="G26" s="39">
        <v>0</v>
      </c>
      <c r="H26" s="16" t="s">
        <v>53</v>
      </c>
      <c r="I26" s="39">
        <v>0</v>
      </c>
      <c r="J26" s="16" t="s">
        <v>53</v>
      </c>
      <c r="K26" s="39">
        <v>1625</v>
      </c>
      <c r="L26" s="16" t="s">
        <v>609</v>
      </c>
      <c r="M26" s="39">
        <v>0</v>
      </c>
      <c r="N26" s="16" t="s">
        <v>53</v>
      </c>
      <c r="O26" s="39">
        <f>SMALL(E26:M26,COUNTIF(E26:M26,0)+1)</f>
        <v>1625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16" t="s">
        <v>610</v>
      </c>
      <c r="X26" s="16" t="s">
        <v>53</v>
      </c>
      <c r="Y26" s="1" t="s">
        <v>53</v>
      </c>
      <c r="Z26" s="1" t="s">
        <v>53</v>
      </c>
      <c r="AA26" s="40"/>
      <c r="AB26" s="1" t="s">
        <v>53</v>
      </c>
    </row>
    <row r="27" spans="1:28" ht="30" customHeight="1" x14ac:dyDescent="0.45">
      <c r="A27" s="16" t="s">
        <v>611</v>
      </c>
      <c r="B27" s="16" t="s">
        <v>206</v>
      </c>
      <c r="C27" s="16" t="s">
        <v>202</v>
      </c>
      <c r="D27" s="38" t="s">
        <v>203</v>
      </c>
      <c r="E27" s="39">
        <v>0</v>
      </c>
      <c r="F27" s="16" t="s">
        <v>53</v>
      </c>
      <c r="G27" s="39">
        <v>0</v>
      </c>
      <c r="H27" s="16" t="s">
        <v>53</v>
      </c>
      <c r="I27" s="39">
        <v>0</v>
      </c>
      <c r="J27" s="16" t="s">
        <v>53</v>
      </c>
      <c r="K27" s="39">
        <v>0</v>
      </c>
      <c r="L27" s="16" t="s">
        <v>53</v>
      </c>
      <c r="M27" s="39">
        <v>0</v>
      </c>
      <c r="N27" s="16" t="s">
        <v>53</v>
      </c>
      <c r="O27" s="39">
        <v>0</v>
      </c>
      <c r="P27" s="39">
        <v>172068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16" t="s">
        <v>612</v>
      </c>
      <c r="X27" s="16" t="s">
        <v>53</v>
      </c>
      <c r="Y27" s="1" t="s">
        <v>150</v>
      </c>
      <c r="Z27" s="1" t="s">
        <v>53</v>
      </c>
      <c r="AA27" s="40"/>
      <c r="AB27" s="1" t="s">
        <v>53</v>
      </c>
    </row>
    <row r="28" spans="1:28" ht="30" customHeight="1" x14ac:dyDescent="0.45">
      <c r="A28" s="16" t="s">
        <v>613</v>
      </c>
      <c r="B28" s="16" t="s">
        <v>245</v>
      </c>
      <c r="C28" s="16" t="s">
        <v>202</v>
      </c>
      <c r="D28" s="38" t="s">
        <v>203</v>
      </c>
      <c r="E28" s="39">
        <v>0</v>
      </c>
      <c r="F28" s="16" t="s">
        <v>53</v>
      </c>
      <c r="G28" s="39">
        <v>0</v>
      </c>
      <c r="H28" s="16" t="s">
        <v>53</v>
      </c>
      <c r="I28" s="39">
        <v>0</v>
      </c>
      <c r="J28" s="16" t="s">
        <v>53</v>
      </c>
      <c r="K28" s="39">
        <v>0</v>
      </c>
      <c r="L28" s="16" t="s">
        <v>53</v>
      </c>
      <c r="M28" s="39">
        <v>0</v>
      </c>
      <c r="N28" s="16" t="s">
        <v>53</v>
      </c>
      <c r="O28" s="39">
        <v>0</v>
      </c>
      <c r="P28" s="39">
        <v>226122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16" t="s">
        <v>614</v>
      </c>
      <c r="X28" s="16" t="s">
        <v>53</v>
      </c>
      <c r="Y28" s="1" t="s">
        <v>150</v>
      </c>
      <c r="Z28" s="1" t="s">
        <v>53</v>
      </c>
      <c r="AA28" s="40"/>
      <c r="AB28" s="1" t="s">
        <v>53</v>
      </c>
    </row>
    <row r="29" spans="1:28" ht="30" customHeight="1" x14ac:dyDescent="0.45">
      <c r="A29" s="16" t="s">
        <v>615</v>
      </c>
      <c r="B29" s="16" t="s">
        <v>364</v>
      </c>
      <c r="C29" s="16" t="s">
        <v>202</v>
      </c>
      <c r="D29" s="38" t="s">
        <v>203</v>
      </c>
      <c r="E29" s="39">
        <v>0</v>
      </c>
      <c r="F29" s="16" t="s">
        <v>53</v>
      </c>
      <c r="G29" s="39">
        <v>0</v>
      </c>
      <c r="H29" s="16" t="s">
        <v>53</v>
      </c>
      <c r="I29" s="39">
        <v>0</v>
      </c>
      <c r="J29" s="16" t="s">
        <v>53</v>
      </c>
      <c r="K29" s="39">
        <v>0</v>
      </c>
      <c r="L29" s="16" t="s">
        <v>53</v>
      </c>
      <c r="M29" s="39">
        <v>0</v>
      </c>
      <c r="N29" s="16" t="s">
        <v>53</v>
      </c>
      <c r="O29" s="39">
        <v>0</v>
      </c>
      <c r="P29" s="39">
        <v>275790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16" t="s">
        <v>616</v>
      </c>
      <c r="X29" s="16" t="s">
        <v>53</v>
      </c>
      <c r="Y29" s="1" t="s">
        <v>150</v>
      </c>
      <c r="Z29" s="1" t="s">
        <v>53</v>
      </c>
      <c r="AA29" s="40"/>
      <c r="AB29" s="1" t="s">
        <v>53</v>
      </c>
    </row>
    <row r="30" spans="1:28" ht="30" customHeight="1" x14ac:dyDescent="0.45">
      <c r="A30" s="16" t="s">
        <v>617</v>
      </c>
      <c r="B30" s="16" t="s">
        <v>371</v>
      </c>
      <c r="C30" s="16" t="s">
        <v>202</v>
      </c>
      <c r="D30" s="38" t="s">
        <v>203</v>
      </c>
      <c r="E30" s="39">
        <v>0</v>
      </c>
      <c r="F30" s="16" t="s">
        <v>53</v>
      </c>
      <c r="G30" s="39">
        <v>0</v>
      </c>
      <c r="H30" s="16" t="s">
        <v>53</v>
      </c>
      <c r="I30" s="39">
        <v>0</v>
      </c>
      <c r="J30" s="16" t="s">
        <v>53</v>
      </c>
      <c r="K30" s="39">
        <v>0</v>
      </c>
      <c r="L30" s="16" t="s">
        <v>53</v>
      </c>
      <c r="M30" s="39">
        <v>0</v>
      </c>
      <c r="N30" s="16" t="s">
        <v>53</v>
      </c>
      <c r="O30" s="39">
        <v>0</v>
      </c>
      <c r="P30" s="39">
        <v>239808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16" t="s">
        <v>618</v>
      </c>
      <c r="X30" s="16" t="s">
        <v>53</v>
      </c>
      <c r="Y30" s="1" t="s">
        <v>150</v>
      </c>
      <c r="Z30" s="1" t="s">
        <v>53</v>
      </c>
      <c r="AA30" s="40"/>
      <c r="AB30" s="1" t="s">
        <v>53</v>
      </c>
    </row>
    <row r="31" spans="1:28" ht="30" customHeight="1" x14ac:dyDescent="0.45">
      <c r="A31" s="16" t="s">
        <v>619</v>
      </c>
      <c r="B31" s="16" t="s">
        <v>374</v>
      </c>
      <c r="C31" s="16" t="s">
        <v>202</v>
      </c>
      <c r="D31" s="38" t="s">
        <v>203</v>
      </c>
      <c r="E31" s="39">
        <v>0</v>
      </c>
      <c r="F31" s="16" t="s">
        <v>53</v>
      </c>
      <c r="G31" s="39">
        <v>0</v>
      </c>
      <c r="H31" s="16" t="s">
        <v>53</v>
      </c>
      <c r="I31" s="39">
        <v>0</v>
      </c>
      <c r="J31" s="16" t="s">
        <v>53</v>
      </c>
      <c r="K31" s="39">
        <v>0</v>
      </c>
      <c r="L31" s="16" t="s">
        <v>53</v>
      </c>
      <c r="M31" s="39">
        <v>0</v>
      </c>
      <c r="N31" s="16" t="s">
        <v>53</v>
      </c>
      <c r="O31" s="39">
        <v>0</v>
      </c>
      <c r="P31" s="39">
        <v>282536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16" t="s">
        <v>620</v>
      </c>
      <c r="X31" s="16" t="s">
        <v>53</v>
      </c>
      <c r="Y31" s="1" t="s">
        <v>150</v>
      </c>
      <c r="Z31" s="1" t="s">
        <v>53</v>
      </c>
      <c r="AA31" s="40"/>
      <c r="AB31" s="1" t="s">
        <v>53</v>
      </c>
    </row>
    <row r="32" spans="1:28" ht="30" customHeight="1" x14ac:dyDescent="0.45">
      <c r="A32" s="16" t="s">
        <v>621</v>
      </c>
      <c r="B32" s="16" t="s">
        <v>342</v>
      </c>
      <c r="C32" s="16" t="s">
        <v>202</v>
      </c>
      <c r="D32" s="38" t="s">
        <v>203</v>
      </c>
      <c r="E32" s="39">
        <v>0</v>
      </c>
      <c r="F32" s="16" t="s">
        <v>53</v>
      </c>
      <c r="G32" s="39">
        <v>0</v>
      </c>
      <c r="H32" s="16" t="s">
        <v>53</v>
      </c>
      <c r="I32" s="39">
        <v>0</v>
      </c>
      <c r="J32" s="16" t="s">
        <v>53</v>
      </c>
      <c r="K32" s="39">
        <v>0</v>
      </c>
      <c r="L32" s="16" t="s">
        <v>53</v>
      </c>
      <c r="M32" s="39">
        <v>0</v>
      </c>
      <c r="N32" s="16" t="s">
        <v>53</v>
      </c>
      <c r="O32" s="39">
        <v>0</v>
      </c>
      <c r="P32" s="39">
        <v>273540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16" t="s">
        <v>622</v>
      </c>
      <c r="X32" s="16" t="s">
        <v>53</v>
      </c>
      <c r="Y32" s="1" t="s">
        <v>150</v>
      </c>
      <c r="Z32" s="1" t="s">
        <v>53</v>
      </c>
      <c r="AA32" s="40"/>
      <c r="AB32" s="1" t="s">
        <v>53</v>
      </c>
    </row>
    <row r="33" spans="1:28" ht="30" customHeight="1" x14ac:dyDescent="0.45">
      <c r="A33" s="16" t="s">
        <v>623</v>
      </c>
      <c r="B33" s="16" t="s">
        <v>217</v>
      </c>
      <c r="C33" s="16" t="s">
        <v>202</v>
      </c>
      <c r="D33" s="38" t="s">
        <v>203</v>
      </c>
      <c r="E33" s="39">
        <v>0</v>
      </c>
      <c r="F33" s="16" t="s">
        <v>53</v>
      </c>
      <c r="G33" s="39">
        <v>0</v>
      </c>
      <c r="H33" s="16" t="s">
        <v>53</v>
      </c>
      <c r="I33" s="39">
        <v>0</v>
      </c>
      <c r="J33" s="16" t="s">
        <v>53</v>
      </c>
      <c r="K33" s="39">
        <v>0</v>
      </c>
      <c r="L33" s="16" t="s">
        <v>53</v>
      </c>
      <c r="M33" s="39">
        <v>0</v>
      </c>
      <c r="N33" s="16" t="s">
        <v>53</v>
      </c>
      <c r="O33" s="39">
        <v>0</v>
      </c>
      <c r="P33" s="39">
        <v>222306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16" t="s">
        <v>624</v>
      </c>
      <c r="X33" s="16" t="s">
        <v>53</v>
      </c>
      <c r="Y33" s="1" t="s">
        <v>150</v>
      </c>
      <c r="Z33" s="1" t="s">
        <v>53</v>
      </c>
      <c r="AA33" s="40"/>
      <c r="AB33" s="1" t="s">
        <v>53</v>
      </c>
    </row>
    <row r="34" spans="1:28" ht="30" customHeight="1" x14ac:dyDescent="0.45">
      <c r="A34" s="16" t="s">
        <v>625</v>
      </c>
      <c r="B34" s="16" t="s">
        <v>201</v>
      </c>
      <c r="C34" s="16" t="s">
        <v>202</v>
      </c>
      <c r="D34" s="38" t="s">
        <v>203</v>
      </c>
      <c r="E34" s="39">
        <v>0</v>
      </c>
      <c r="F34" s="16" t="s">
        <v>53</v>
      </c>
      <c r="G34" s="39">
        <v>0</v>
      </c>
      <c r="H34" s="16" t="s">
        <v>53</v>
      </c>
      <c r="I34" s="39">
        <v>0</v>
      </c>
      <c r="J34" s="16" t="s">
        <v>53</v>
      </c>
      <c r="K34" s="39">
        <v>0</v>
      </c>
      <c r="L34" s="16" t="s">
        <v>53</v>
      </c>
      <c r="M34" s="39">
        <v>0</v>
      </c>
      <c r="N34" s="16" t="s">
        <v>53</v>
      </c>
      <c r="O34" s="39">
        <v>0</v>
      </c>
      <c r="P34" s="39">
        <v>277642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16" t="s">
        <v>626</v>
      </c>
      <c r="X34" s="16" t="s">
        <v>53</v>
      </c>
      <c r="Y34" s="1" t="s">
        <v>150</v>
      </c>
      <c r="Z34" s="1" t="s">
        <v>53</v>
      </c>
      <c r="AA34" s="40"/>
      <c r="AB34" s="1" t="s">
        <v>53</v>
      </c>
    </row>
    <row r="35" spans="1:28" ht="30" customHeight="1" x14ac:dyDescent="0.45">
      <c r="A35" s="16" t="s">
        <v>627</v>
      </c>
      <c r="B35" s="16" t="s">
        <v>394</v>
      </c>
      <c r="C35" s="16" t="s">
        <v>202</v>
      </c>
      <c r="D35" s="38" t="s">
        <v>203</v>
      </c>
      <c r="E35" s="39">
        <v>0</v>
      </c>
      <c r="F35" s="16" t="s">
        <v>53</v>
      </c>
      <c r="G35" s="39">
        <v>0</v>
      </c>
      <c r="H35" s="16" t="s">
        <v>53</v>
      </c>
      <c r="I35" s="39">
        <v>0</v>
      </c>
      <c r="J35" s="16" t="s">
        <v>53</v>
      </c>
      <c r="K35" s="39">
        <v>0</v>
      </c>
      <c r="L35" s="16" t="s">
        <v>53</v>
      </c>
      <c r="M35" s="39">
        <v>0</v>
      </c>
      <c r="N35" s="16" t="s">
        <v>53</v>
      </c>
      <c r="O35" s="39">
        <v>0</v>
      </c>
      <c r="P35" s="39">
        <v>256883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16" t="s">
        <v>628</v>
      </c>
      <c r="X35" s="16" t="s">
        <v>53</v>
      </c>
      <c r="Y35" s="1" t="s">
        <v>150</v>
      </c>
      <c r="Z35" s="1" t="s">
        <v>53</v>
      </c>
      <c r="AA35" s="40"/>
      <c r="AB35" s="1" t="s">
        <v>53</v>
      </c>
    </row>
    <row r="36" spans="1:28" ht="30" customHeight="1" x14ac:dyDescent="0.45">
      <c r="A36" s="16" t="s">
        <v>629</v>
      </c>
      <c r="B36" s="16" t="s">
        <v>415</v>
      </c>
      <c r="C36" s="16" t="s">
        <v>202</v>
      </c>
      <c r="D36" s="38" t="s">
        <v>203</v>
      </c>
      <c r="E36" s="39">
        <v>0</v>
      </c>
      <c r="F36" s="16" t="s">
        <v>53</v>
      </c>
      <c r="G36" s="39">
        <v>0</v>
      </c>
      <c r="H36" s="16" t="s">
        <v>53</v>
      </c>
      <c r="I36" s="39">
        <v>0</v>
      </c>
      <c r="J36" s="16" t="s">
        <v>53</v>
      </c>
      <c r="K36" s="39">
        <v>0</v>
      </c>
      <c r="L36" s="16" t="s">
        <v>53</v>
      </c>
      <c r="M36" s="39">
        <v>0</v>
      </c>
      <c r="N36" s="16" t="s">
        <v>53</v>
      </c>
      <c r="O36" s="39">
        <v>0</v>
      </c>
      <c r="P36" s="39">
        <v>283297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16" t="s">
        <v>630</v>
      </c>
      <c r="X36" s="16" t="s">
        <v>53</v>
      </c>
      <c r="Y36" s="1" t="s">
        <v>150</v>
      </c>
      <c r="Z36" s="1" t="s">
        <v>53</v>
      </c>
      <c r="AA36" s="40"/>
      <c r="AB36" s="1" t="s">
        <v>53</v>
      </c>
    </row>
    <row r="37" spans="1:28" ht="30" customHeight="1" x14ac:dyDescent="0.45">
      <c r="A37" s="16" t="s">
        <v>631</v>
      </c>
      <c r="B37" s="16" t="s">
        <v>632</v>
      </c>
      <c r="C37" s="16" t="s">
        <v>633</v>
      </c>
      <c r="D37" s="38" t="s">
        <v>144</v>
      </c>
      <c r="E37" s="39">
        <v>0</v>
      </c>
      <c r="F37" s="16" t="s">
        <v>53</v>
      </c>
      <c r="G37" s="39">
        <v>0</v>
      </c>
      <c r="H37" s="16" t="s">
        <v>53</v>
      </c>
      <c r="I37" s="39">
        <v>0</v>
      </c>
      <c r="J37" s="16" t="s">
        <v>53</v>
      </c>
      <c r="K37" s="39">
        <v>0</v>
      </c>
      <c r="L37" s="16" t="s">
        <v>53</v>
      </c>
      <c r="M37" s="39">
        <v>0</v>
      </c>
      <c r="N37" s="16" t="s">
        <v>53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587720</v>
      </c>
      <c r="U37" s="39">
        <v>0</v>
      </c>
      <c r="V37" s="39">
        <f>SMALL(Q37:U37,COUNTIF(Q37:U37,0)+1)</f>
        <v>587720</v>
      </c>
      <c r="W37" s="16" t="s">
        <v>634</v>
      </c>
      <c r="X37" s="16" t="s">
        <v>53</v>
      </c>
      <c r="Y37" s="1" t="s">
        <v>53</v>
      </c>
      <c r="Z37" s="1" t="s">
        <v>53</v>
      </c>
      <c r="AA37" s="40"/>
      <c r="AB37" s="1" t="s">
        <v>53</v>
      </c>
    </row>
    <row r="38" spans="1:28" ht="30" customHeight="1" x14ac:dyDescent="0.45">
      <c r="A38" s="16" t="s">
        <v>635</v>
      </c>
      <c r="B38" s="16" t="s">
        <v>636</v>
      </c>
      <c r="C38" s="16" t="s">
        <v>637</v>
      </c>
      <c r="D38" s="38" t="s">
        <v>203</v>
      </c>
      <c r="E38" s="39">
        <v>0</v>
      </c>
      <c r="F38" s="16" t="s">
        <v>53</v>
      </c>
      <c r="G38" s="39">
        <v>0</v>
      </c>
      <c r="H38" s="16" t="s">
        <v>53</v>
      </c>
      <c r="I38" s="39">
        <v>0</v>
      </c>
      <c r="J38" s="16" t="s">
        <v>53</v>
      </c>
      <c r="K38" s="39">
        <v>0</v>
      </c>
      <c r="L38" s="16" t="s">
        <v>53</v>
      </c>
      <c r="M38" s="39">
        <v>0</v>
      </c>
      <c r="N38" s="16" t="s">
        <v>53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32300</v>
      </c>
      <c r="U38" s="39">
        <v>0</v>
      </c>
      <c r="V38" s="39">
        <f>SMALL(Q38:U38,COUNTIF(Q38:U38,0)+1)</f>
        <v>32300</v>
      </c>
      <c r="W38" s="16" t="s">
        <v>638</v>
      </c>
      <c r="X38" s="16" t="s">
        <v>53</v>
      </c>
      <c r="Y38" s="1" t="s">
        <v>53</v>
      </c>
      <c r="Z38" s="1" t="s">
        <v>53</v>
      </c>
      <c r="AA38" s="40"/>
      <c r="AB38" s="1" t="s">
        <v>53</v>
      </c>
    </row>
    <row r="39" spans="1:28" ht="30" customHeight="1" x14ac:dyDescent="0.45">
      <c r="A39" s="16" t="s">
        <v>639</v>
      </c>
      <c r="B39" s="16" t="s">
        <v>232</v>
      </c>
      <c r="C39" s="16" t="s">
        <v>233</v>
      </c>
      <c r="D39" s="38" t="s">
        <v>61</v>
      </c>
      <c r="E39" s="39">
        <v>0</v>
      </c>
      <c r="F39" s="16" t="s">
        <v>53</v>
      </c>
      <c r="G39" s="39">
        <v>0</v>
      </c>
      <c r="H39" s="16" t="s">
        <v>53</v>
      </c>
      <c r="I39" s="39">
        <v>0</v>
      </c>
      <c r="J39" s="16" t="s">
        <v>53</v>
      </c>
      <c r="K39" s="39">
        <v>0</v>
      </c>
      <c r="L39" s="16" t="s">
        <v>53</v>
      </c>
      <c r="M39" s="39">
        <v>96000</v>
      </c>
      <c r="N39" s="16" t="s">
        <v>640</v>
      </c>
      <c r="O39" s="39">
        <f t="shared" ref="O39:O44" si="2">SMALL(E39:M39,COUNTIF(E39:M39,0)+1)</f>
        <v>96000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16" t="s">
        <v>641</v>
      </c>
      <c r="X39" s="16" t="s">
        <v>53</v>
      </c>
      <c r="Y39" s="1" t="s">
        <v>53</v>
      </c>
      <c r="Z39" s="1" t="s">
        <v>53</v>
      </c>
      <c r="AA39" s="40"/>
      <c r="AB39" s="1" t="s">
        <v>53</v>
      </c>
    </row>
    <row r="40" spans="1:28" ht="30" customHeight="1" x14ac:dyDescent="0.45">
      <c r="A40" s="16" t="s">
        <v>642</v>
      </c>
      <c r="B40" s="16" t="s">
        <v>88</v>
      </c>
      <c r="C40" s="16" t="s">
        <v>89</v>
      </c>
      <c r="D40" s="38" t="s">
        <v>90</v>
      </c>
      <c r="E40" s="39">
        <v>0</v>
      </c>
      <c r="F40" s="16" t="s">
        <v>53</v>
      </c>
      <c r="G40" s="39">
        <v>0</v>
      </c>
      <c r="H40" s="16" t="s">
        <v>53</v>
      </c>
      <c r="I40" s="39">
        <v>0</v>
      </c>
      <c r="J40" s="16" t="s">
        <v>53</v>
      </c>
      <c r="K40" s="39">
        <v>0</v>
      </c>
      <c r="L40" s="16" t="s">
        <v>609</v>
      </c>
      <c r="M40" s="39">
        <v>28750</v>
      </c>
      <c r="N40" s="16" t="s">
        <v>53</v>
      </c>
      <c r="O40" s="39">
        <f t="shared" si="2"/>
        <v>28750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16" t="s">
        <v>643</v>
      </c>
      <c r="X40" s="16" t="s">
        <v>53</v>
      </c>
      <c r="Y40" s="1" t="s">
        <v>53</v>
      </c>
      <c r="Z40" s="1" t="s">
        <v>53</v>
      </c>
      <c r="AA40" s="40"/>
      <c r="AB40" s="1" t="s">
        <v>53</v>
      </c>
    </row>
    <row r="41" spans="1:28" ht="30" customHeight="1" x14ac:dyDescent="0.45">
      <c r="A41" s="16" t="s">
        <v>644</v>
      </c>
      <c r="B41" s="16" t="s">
        <v>93</v>
      </c>
      <c r="C41" s="16" t="s">
        <v>53</v>
      </c>
      <c r="D41" s="38" t="s">
        <v>90</v>
      </c>
      <c r="E41" s="39">
        <v>0</v>
      </c>
      <c r="F41" s="16" t="s">
        <v>53</v>
      </c>
      <c r="G41" s="39">
        <v>0</v>
      </c>
      <c r="H41" s="16" t="s">
        <v>53</v>
      </c>
      <c r="I41" s="39">
        <v>0</v>
      </c>
      <c r="J41" s="16" t="s">
        <v>53</v>
      </c>
      <c r="K41" s="39">
        <v>0</v>
      </c>
      <c r="L41" s="16" t="s">
        <v>609</v>
      </c>
      <c r="M41" s="39">
        <v>6900</v>
      </c>
      <c r="N41" s="16" t="s">
        <v>53</v>
      </c>
      <c r="O41" s="39">
        <f t="shared" si="2"/>
        <v>6900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16" t="s">
        <v>645</v>
      </c>
      <c r="X41" s="16" t="s">
        <v>53</v>
      </c>
      <c r="Y41" s="1" t="s">
        <v>53</v>
      </c>
      <c r="Z41" s="1" t="s">
        <v>53</v>
      </c>
      <c r="AA41" s="40"/>
      <c r="AB41" s="1" t="s">
        <v>53</v>
      </c>
    </row>
    <row r="42" spans="1:28" ht="30" customHeight="1" x14ac:dyDescent="0.45">
      <c r="A42" s="16" t="s">
        <v>646</v>
      </c>
      <c r="B42" s="16" t="s">
        <v>96</v>
      </c>
      <c r="C42" s="16" t="s">
        <v>53</v>
      </c>
      <c r="D42" s="38" t="s">
        <v>90</v>
      </c>
      <c r="E42" s="39">
        <v>0</v>
      </c>
      <c r="F42" s="16" t="s">
        <v>53</v>
      </c>
      <c r="G42" s="39">
        <v>0</v>
      </c>
      <c r="H42" s="16" t="s">
        <v>53</v>
      </c>
      <c r="I42" s="39">
        <v>0</v>
      </c>
      <c r="J42" s="16" t="s">
        <v>53</v>
      </c>
      <c r="K42" s="39">
        <v>0</v>
      </c>
      <c r="L42" s="16" t="s">
        <v>609</v>
      </c>
      <c r="M42" s="39">
        <v>6900</v>
      </c>
      <c r="N42" s="16" t="s">
        <v>53</v>
      </c>
      <c r="O42" s="39">
        <f t="shared" si="2"/>
        <v>6900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16" t="s">
        <v>647</v>
      </c>
      <c r="X42" s="16" t="s">
        <v>53</v>
      </c>
      <c r="Y42" s="1" t="s">
        <v>53</v>
      </c>
      <c r="Z42" s="1" t="s">
        <v>53</v>
      </c>
      <c r="AA42" s="40"/>
      <c r="AB42" s="1" t="s">
        <v>53</v>
      </c>
    </row>
    <row r="43" spans="1:28" ht="30" customHeight="1" x14ac:dyDescent="0.45">
      <c r="A43" s="16" t="s">
        <v>648</v>
      </c>
      <c r="B43" s="16" t="s">
        <v>99</v>
      </c>
      <c r="C43" s="16" t="s">
        <v>100</v>
      </c>
      <c r="D43" s="38" t="s">
        <v>90</v>
      </c>
      <c r="E43" s="39">
        <v>0</v>
      </c>
      <c r="F43" s="16" t="s">
        <v>53</v>
      </c>
      <c r="G43" s="39">
        <v>0</v>
      </c>
      <c r="H43" s="16" t="s">
        <v>53</v>
      </c>
      <c r="I43" s="39">
        <v>0</v>
      </c>
      <c r="J43" s="16" t="s">
        <v>53</v>
      </c>
      <c r="K43" s="39">
        <v>0</v>
      </c>
      <c r="L43" s="16" t="s">
        <v>609</v>
      </c>
      <c r="M43" s="39">
        <v>35650</v>
      </c>
      <c r="N43" s="16" t="s">
        <v>53</v>
      </c>
      <c r="O43" s="39">
        <f t="shared" si="2"/>
        <v>35650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16" t="s">
        <v>649</v>
      </c>
      <c r="X43" s="16" t="s">
        <v>53</v>
      </c>
      <c r="Y43" s="1" t="s">
        <v>53</v>
      </c>
      <c r="Z43" s="1" t="s">
        <v>53</v>
      </c>
      <c r="AA43" s="40"/>
      <c r="AB43" s="1" t="s">
        <v>53</v>
      </c>
    </row>
    <row r="44" spans="1:28" ht="30" customHeight="1" x14ac:dyDescent="0.45">
      <c r="A44" s="16" t="s">
        <v>650</v>
      </c>
      <c r="B44" s="16" t="s">
        <v>103</v>
      </c>
      <c r="C44" s="16" t="s">
        <v>53</v>
      </c>
      <c r="D44" s="38" t="s">
        <v>90</v>
      </c>
      <c r="E44" s="39">
        <v>0</v>
      </c>
      <c r="F44" s="16" t="s">
        <v>53</v>
      </c>
      <c r="G44" s="39">
        <v>0</v>
      </c>
      <c r="H44" s="16" t="s">
        <v>53</v>
      </c>
      <c r="I44" s="39">
        <v>0</v>
      </c>
      <c r="J44" s="16" t="s">
        <v>53</v>
      </c>
      <c r="K44" s="39">
        <v>0</v>
      </c>
      <c r="L44" s="16" t="s">
        <v>609</v>
      </c>
      <c r="M44" s="39">
        <v>6900</v>
      </c>
      <c r="N44" s="16" t="s">
        <v>53</v>
      </c>
      <c r="O44" s="39">
        <f t="shared" si="2"/>
        <v>6900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16" t="s">
        <v>651</v>
      </c>
      <c r="X44" s="16" t="s">
        <v>53</v>
      </c>
      <c r="Y44" s="1" t="s">
        <v>53</v>
      </c>
      <c r="Z44" s="1" t="s">
        <v>53</v>
      </c>
      <c r="AA44" s="40"/>
      <c r="AB44" s="1" t="s">
        <v>53</v>
      </c>
    </row>
  </sheetData>
  <mergeCells count="15"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  <mergeCell ref="Y3:Y4"/>
    <mergeCell ref="Z3:Z4"/>
    <mergeCell ref="AA3:AA4"/>
    <mergeCell ref="AB3:AB4"/>
  </mergeCells>
  <phoneticPr fontId="1" type="noConversion"/>
  <pageMargins left="0.78740157480314954" right="0" top="0.39370078740157477" bottom="0.39370078740157477" header="0" footer="0"/>
  <pageSetup paperSize="9" scale="42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E4DAA-9272-446F-B105-7A580FB463A0}">
  <dimension ref="A1:M43"/>
  <sheetViews>
    <sheetView workbookViewId="0"/>
  </sheetViews>
  <sheetFormatPr defaultRowHeight="17" x14ac:dyDescent="0.45"/>
  <sheetData>
    <row r="1" spans="1:7" x14ac:dyDescent="0.45">
      <c r="A1" t="s">
        <v>736</v>
      </c>
    </row>
    <row r="2" spans="1:7" x14ac:dyDescent="0.45">
      <c r="A2" s="1" t="s">
        <v>737</v>
      </c>
      <c r="B2" t="s">
        <v>404</v>
      </c>
      <c r="C2" s="1" t="s">
        <v>738</v>
      </c>
      <c r="D2" t="s">
        <v>64</v>
      </c>
    </row>
    <row r="3" spans="1:7" x14ac:dyDescent="0.45">
      <c r="A3" s="1" t="s">
        <v>739</v>
      </c>
      <c r="B3" t="s">
        <v>740</v>
      </c>
    </row>
    <row r="4" spans="1:7" x14ac:dyDescent="0.45">
      <c r="A4" s="1" t="s">
        <v>741</v>
      </c>
      <c r="B4">
        <v>5</v>
      </c>
    </row>
    <row r="5" spans="1:7" x14ac:dyDescent="0.45">
      <c r="A5" s="1" t="s">
        <v>742</v>
      </c>
      <c r="B5">
        <v>5</v>
      </c>
    </row>
    <row r="6" spans="1:7" x14ac:dyDescent="0.45">
      <c r="A6" s="1" t="s">
        <v>743</v>
      </c>
      <c r="B6" t="s">
        <v>744</v>
      </c>
    </row>
    <row r="7" spans="1:7" x14ac:dyDescent="0.45">
      <c r="A7" s="1" t="s">
        <v>745</v>
      </c>
      <c r="B7" t="s">
        <v>168</v>
      </c>
      <c r="C7" t="s">
        <v>64</v>
      </c>
    </row>
    <row r="8" spans="1:7" x14ac:dyDescent="0.45">
      <c r="A8" s="1" t="s">
        <v>746</v>
      </c>
      <c r="B8" t="s">
        <v>168</v>
      </c>
      <c r="C8">
        <v>2</v>
      </c>
    </row>
    <row r="9" spans="1:7" x14ac:dyDescent="0.45">
      <c r="A9" s="1" t="s">
        <v>747</v>
      </c>
      <c r="B9" t="s">
        <v>537</v>
      </c>
      <c r="C9" t="s">
        <v>539</v>
      </c>
      <c r="D9" t="s">
        <v>540</v>
      </c>
      <c r="E9" t="s">
        <v>541</v>
      </c>
      <c r="F9" t="s">
        <v>542</v>
      </c>
      <c r="G9" t="s">
        <v>748</v>
      </c>
    </row>
    <row r="10" spans="1:7" x14ac:dyDescent="0.45">
      <c r="A10" s="1" t="s">
        <v>749</v>
      </c>
      <c r="B10">
        <v>1472</v>
      </c>
      <c r="C10">
        <v>0</v>
      </c>
      <c r="D10">
        <v>0</v>
      </c>
    </row>
    <row r="11" spans="1:7" x14ac:dyDescent="0.45">
      <c r="A11" s="1" t="s">
        <v>750</v>
      </c>
      <c r="B11" t="s">
        <v>751</v>
      </c>
      <c r="C11">
        <v>4</v>
      </c>
    </row>
    <row r="12" spans="1:7" x14ac:dyDescent="0.45">
      <c r="A12" s="1" t="s">
        <v>752</v>
      </c>
      <c r="B12" t="s">
        <v>751</v>
      </c>
      <c r="C12">
        <v>4</v>
      </c>
    </row>
    <row r="13" spans="1:7" x14ac:dyDescent="0.45">
      <c r="A13" s="1" t="s">
        <v>753</v>
      </c>
      <c r="B13" t="s">
        <v>751</v>
      </c>
      <c r="C13">
        <v>3</v>
      </c>
    </row>
    <row r="14" spans="1:7" x14ac:dyDescent="0.45">
      <c r="A14" s="1" t="s">
        <v>754</v>
      </c>
      <c r="B14" t="s">
        <v>751</v>
      </c>
      <c r="C14">
        <v>5</v>
      </c>
    </row>
    <row r="15" spans="1:7" x14ac:dyDescent="0.45">
      <c r="A15" s="1" t="s">
        <v>755</v>
      </c>
      <c r="B15" t="s">
        <v>404</v>
      </c>
      <c r="C15" t="s">
        <v>756</v>
      </c>
      <c r="D15" t="s">
        <v>756</v>
      </c>
      <c r="E15" t="s">
        <v>756</v>
      </c>
      <c r="F15">
        <v>1</v>
      </c>
    </row>
    <row r="16" spans="1:7" x14ac:dyDescent="0.45">
      <c r="A16" s="1" t="s">
        <v>757</v>
      </c>
      <c r="B16">
        <v>1.1100000000000001</v>
      </c>
      <c r="C16">
        <v>1.1200000000000001</v>
      </c>
    </row>
    <row r="17" spans="1:13" x14ac:dyDescent="0.45">
      <c r="A17" s="1" t="s">
        <v>758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45">
      <c r="A18" s="1" t="s">
        <v>759</v>
      </c>
      <c r="B18">
        <v>1.25</v>
      </c>
      <c r="C18">
        <v>1.071</v>
      </c>
    </row>
    <row r="19" spans="1:13" x14ac:dyDescent="0.45">
      <c r="A19" s="1" t="s">
        <v>760</v>
      </c>
    </row>
    <row r="20" spans="1:13" x14ac:dyDescent="0.45">
      <c r="A20" s="1" t="s">
        <v>761</v>
      </c>
      <c r="B20" s="1" t="s">
        <v>168</v>
      </c>
      <c r="C20">
        <v>1</v>
      </c>
    </row>
    <row r="21" spans="1:13" x14ac:dyDescent="0.45">
      <c r="A21" t="s">
        <v>423</v>
      </c>
      <c r="B21" t="s">
        <v>763</v>
      </c>
      <c r="C21" t="s">
        <v>764</v>
      </c>
    </row>
    <row r="22" spans="1:13" x14ac:dyDescent="0.45">
      <c r="A22">
        <v>1</v>
      </c>
      <c r="B22" s="1" t="s">
        <v>765</v>
      </c>
      <c r="C22" s="1" t="s">
        <v>666</v>
      </c>
    </row>
    <row r="23" spans="1:13" x14ac:dyDescent="0.45">
      <c r="A23">
        <v>2</v>
      </c>
      <c r="B23" s="1" t="s">
        <v>53</v>
      </c>
      <c r="C23" s="1" t="s">
        <v>53</v>
      </c>
    </row>
    <row r="24" spans="1:13" x14ac:dyDescent="0.45">
      <c r="A24">
        <v>3</v>
      </c>
      <c r="B24" s="1" t="s">
        <v>677</v>
      </c>
      <c r="C24" s="1" t="s">
        <v>676</v>
      </c>
    </row>
    <row r="25" spans="1:13" x14ac:dyDescent="0.45">
      <c r="A25">
        <v>4</v>
      </c>
      <c r="B25" s="1" t="s">
        <v>53</v>
      </c>
      <c r="C25" s="1" t="s">
        <v>53</v>
      </c>
    </row>
    <row r="26" spans="1:13" x14ac:dyDescent="0.45">
      <c r="A26">
        <v>5</v>
      </c>
      <c r="B26" s="1" t="s">
        <v>766</v>
      </c>
      <c r="C26" s="1" t="s">
        <v>767</v>
      </c>
    </row>
    <row r="27" spans="1:13" x14ac:dyDescent="0.45">
      <c r="A27">
        <v>6</v>
      </c>
      <c r="B27" s="1" t="s">
        <v>53</v>
      </c>
      <c r="C27" s="1" t="s">
        <v>53</v>
      </c>
    </row>
    <row r="28" spans="1:13" x14ac:dyDescent="0.45">
      <c r="A28">
        <v>7</v>
      </c>
      <c r="B28" s="1" t="s">
        <v>768</v>
      </c>
      <c r="C28" s="1" t="s">
        <v>769</v>
      </c>
    </row>
    <row r="29" spans="1:13" x14ac:dyDescent="0.45">
      <c r="A29">
        <v>8</v>
      </c>
      <c r="B29" s="1" t="s">
        <v>53</v>
      </c>
      <c r="C29" s="1" t="s">
        <v>53</v>
      </c>
    </row>
    <row r="30" spans="1:13" x14ac:dyDescent="0.45">
      <c r="A30">
        <v>9</v>
      </c>
      <c r="B30" s="1" t="s">
        <v>770</v>
      </c>
      <c r="C30" s="1" t="s">
        <v>771</v>
      </c>
    </row>
    <row r="31" spans="1:13" x14ac:dyDescent="0.45">
      <c r="A31" t="s">
        <v>404</v>
      </c>
      <c r="B31" s="1" t="s">
        <v>772</v>
      </c>
      <c r="C31" s="1" t="s">
        <v>53</v>
      </c>
    </row>
    <row r="32" spans="1:13" x14ac:dyDescent="0.45">
      <c r="A32" t="s">
        <v>150</v>
      </c>
      <c r="B32" s="1" t="s">
        <v>151</v>
      </c>
      <c r="C32" s="1" t="s">
        <v>701</v>
      </c>
    </row>
    <row r="33" spans="1:3" x14ac:dyDescent="0.45">
      <c r="A33" t="s">
        <v>168</v>
      </c>
      <c r="B33" s="1" t="s">
        <v>725</v>
      </c>
      <c r="C33" s="1" t="s">
        <v>724</v>
      </c>
    </row>
    <row r="34" spans="1:3" x14ac:dyDescent="0.45">
      <c r="A34" t="s">
        <v>773</v>
      </c>
      <c r="B34" s="1" t="s">
        <v>772</v>
      </c>
      <c r="C34" s="1" t="s">
        <v>53</v>
      </c>
    </row>
    <row r="35" spans="1:3" x14ac:dyDescent="0.45">
      <c r="A35" t="s">
        <v>774</v>
      </c>
      <c r="B35" s="1" t="s">
        <v>775</v>
      </c>
      <c r="C35" s="1" t="s">
        <v>776</v>
      </c>
    </row>
    <row r="36" spans="1:3" x14ac:dyDescent="0.45">
      <c r="A36" t="s">
        <v>65</v>
      </c>
      <c r="B36" s="1" t="s">
        <v>772</v>
      </c>
      <c r="C36" s="1" t="s">
        <v>53</v>
      </c>
    </row>
    <row r="37" spans="1:3" x14ac:dyDescent="0.45">
      <c r="A37" t="s">
        <v>777</v>
      </c>
      <c r="B37" s="1" t="s">
        <v>778</v>
      </c>
      <c r="C37" s="1" t="s">
        <v>779</v>
      </c>
    </row>
    <row r="38" spans="1:3" x14ac:dyDescent="0.45">
      <c r="A38" t="s">
        <v>780</v>
      </c>
      <c r="B38" s="1" t="s">
        <v>781</v>
      </c>
      <c r="C38" s="1" t="s">
        <v>782</v>
      </c>
    </row>
    <row r="39" spans="1:3" x14ac:dyDescent="0.45">
      <c r="A39" t="s">
        <v>783</v>
      </c>
      <c r="B39" s="1" t="s">
        <v>772</v>
      </c>
      <c r="C39" s="1" t="s">
        <v>53</v>
      </c>
    </row>
    <row r="40" spans="1:3" x14ac:dyDescent="0.45">
      <c r="A40" t="s">
        <v>784</v>
      </c>
      <c r="B40" s="1" t="s">
        <v>772</v>
      </c>
      <c r="C40" s="1" t="s">
        <v>53</v>
      </c>
    </row>
    <row r="43" spans="1:3" x14ac:dyDescent="0.45">
      <c r="A43" t="s">
        <v>762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514F7-2B00-4C00-875B-E47E4B21A80E}">
  <dimension ref="A1"/>
  <sheetViews>
    <sheetView workbookViewId="0"/>
  </sheetViews>
  <sheetFormatPr defaultRowHeight="17" x14ac:dyDescent="0.4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15</vt:i4>
      </vt:variant>
    </vt:vector>
  </HeadingPairs>
  <TitlesOfParts>
    <vt:vector size="25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용건 이</dc:creator>
  <cp:lastModifiedBy>용건 이</cp:lastModifiedBy>
  <dcterms:created xsi:type="dcterms:W3CDTF">2026-04-20T02:22:53Z</dcterms:created>
  <dcterms:modified xsi:type="dcterms:W3CDTF">2026-04-20T02:25:31Z</dcterms:modified>
</cp:coreProperties>
</file>